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jc2774\Documents\NPI\2019\March\"/>
    </mc:Choice>
  </mc:AlternateContent>
  <xr:revisionPtr revIDLastSave="0" documentId="13_ncr:1_{382FD607-1D54-40A2-AFC6-C81991AE74E4}" xr6:coauthVersionLast="36" xr6:coauthVersionMax="36" xr10:uidLastSave="{00000000-0000-0000-0000-000000000000}"/>
  <bookViews>
    <workbookView xWindow="3150" yWindow="75" windowWidth="12120" windowHeight="7380" tabRatio="714" xr2:uid="{00000000-000D-0000-FFFF-FFFF00000000}"/>
  </bookViews>
  <sheets>
    <sheet name="March 29, 2019" sheetId="55" r:id="rId1"/>
    <sheet name="Historical Recap" sheetId="56" r:id="rId2"/>
    <sheet name="Obsolete" sheetId="57" r:id="rId3"/>
  </sheets>
  <externalReferences>
    <externalReference r:id="rId4"/>
    <externalReference r:id="rId5"/>
  </externalReferences>
  <definedNames>
    <definedName name="_xlnm._FilterDatabase" localSheetId="1" hidden="1">'Historical Recap'!$A$16:$CU$352</definedName>
    <definedName name="_xlnm._FilterDatabase" localSheetId="0" hidden="1">'March 29, 2019'!$A$18:$CS$23</definedName>
    <definedName name="_xlnm._FilterDatabase" localSheetId="2" hidden="1">Obsolete!$C$7:$G$541</definedName>
    <definedName name="_xlnm.Print_Area" localSheetId="1">'Historical Recap'!$C$237:$Q$255</definedName>
    <definedName name="_xlnm.Print_Area" localSheetId="0">'March 29, 2019'!$B$3:$F$5</definedName>
    <definedName name="_xlnm.Print_Area" localSheetId="2">Obsolete!$B$3:$F$3</definedName>
    <definedName name="_xlnm.Print_Titles" localSheetId="1">'Historical Recap'!$1:$236</definedName>
    <definedName name="_xlnm.Print_Titles" localSheetId="0">'March 29, 2019'!$1:$5</definedName>
    <definedName name="_xlnm.Print_Titles" localSheetId="2">Obsolete!$1:$3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K8" i="56" l="1"/>
  <c r="CK7" i="56"/>
  <c r="CM8" i="55"/>
  <c r="CM7" i="55"/>
  <c r="CG6" i="55" l="1"/>
  <c r="CM6" i="55"/>
  <c r="CK6" i="56" l="1"/>
  <c r="CE6" i="56"/>
  <c r="CK9" i="56" l="1"/>
  <c r="CE9" i="56"/>
  <c r="E530" i="57"/>
  <c r="E433" i="57"/>
  <c r="E405" i="57"/>
  <c r="E378" i="57"/>
  <c r="E354" i="57"/>
  <c r="E344" i="57"/>
  <c r="E280" i="57"/>
  <c r="E251" i="57"/>
  <c r="E225" i="57"/>
  <c r="E192" i="57"/>
  <c r="E191" i="57"/>
  <c r="E188" i="57"/>
  <c r="E184" i="57"/>
  <c r="E169" i="57"/>
  <c r="E165" i="57"/>
  <c r="E162" i="57"/>
  <c r="E159" i="57"/>
  <c r="E152" i="57"/>
  <c r="CK12" i="56" l="1"/>
  <c r="CE12" i="56"/>
  <c r="CK11" i="56"/>
  <c r="CE11" i="56"/>
  <c r="CK10" i="56"/>
  <c r="CK15" i="56" l="1"/>
  <c r="CK14" i="56"/>
  <c r="CK13" i="56" l="1"/>
  <c r="CK17" i="56" l="1"/>
  <c r="CK16" i="56"/>
  <c r="CE16" i="56"/>
  <c r="CK19" i="56" l="1"/>
  <c r="CK18" i="56"/>
  <c r="CE18" i="56"/>
  <c r="CK20" i="56" l="1"/>
  <c r="CJ27" i="56" l="1"/>
  <c r="CE27" i="56"/>
  <c r="CE26" i="56"/>
  <c r="CK26" i="56" s="1"/>
  <c r="CK27" i="56" l="1"/>
  <c r="CK29" i="56"/>
  <c r="CE29" i="56"/>
  <c r="CB29" i="56"/>
  <c r="CE31" i="56" l="1"/>
  <c r="CE30" i="56"/>
  <c r="CJ37" i="56" l="1"/>
  <c r="CE37" i="56"/>
  <c r="CJ36" i="56"/>
  <c r="CE36" i="56"/>
  <c r="CJ35" i="56"/>
  <c r="CE35" i="56"/>
  <c r="CJ34" i="56"/>
  <c r="CE34" i="56"/>
  <c r="CJ33" i="56"/>
  <c r="CE33" i="56"/>
  <c r="CJ32" i="56"/>
  <c r="CE32" i="56"/>
  <c r="CK32" i="56" l="1"/>
  <c r="CK33" i="56"/>
  <c r="CK37" i="56"/>
  <c r="CK36" i="56"/>
  <c r="CK35" i="56"/>
  <c r="CK34" i="56"/>
  <c r="CJ38" i="56"/>
  <c r="CE38" i="56"/>
  <c r="CK38" i="56" s="1"/>
  <c r="BW38" i="56"/>
  <c r="CJ41" i="56" l="1"/>
  <c r="CE41" i="56"/>
  <c r="CK41" i="56" s="1"/>
  <c r="CB41" i="56"/>
  <c r="CJ40" i="56"/>
  <c r="CE40" i="56"/>
  <c r="CK40" i="56" s="1"/>
  <c r="CB40" i="56"/>
  <c r="CJ39" i="56"/>
  <c r="CE39" i="56"/>
  <c r="CK39" i="56" s="1"/>
  <c r="CB39" i="56"/>
  <c r="CJ46" i="56" l="1"/>
  <c r="CE46" i="56"/>
  <c r="CK46" i="56" s="1"/>
  <c r="CB46" i="56"/>
  <c r="CJ45" i="56"/>
  <c r="CE45" i="56"/>
  <c r="CK45" i="56" s="1"/>
  <c r="CB45" i="56"/>
  <c r="CJ44" i="56"/>
  <c r="CE44" i="56"/>
  <c r="CK44" i="56" s="1"/>
  <c r="CB44" i="56"/>
  <c r="CJ43" i="56"/>
  <c r="CE43" i="56"/>
  <c r="CK43" i="56" s="1"/>
  <c r="CB43" i="56"/>
  <c r="CJ42" i="56"/>
  <c r="CE42" i="56"/>
  <c r="CK42" i="56" s="1"/>
  <c r="CA42" i="56"/>
  <c r="BZ42" i="56"/>
  <c r="BY42" i="56"/>
  <c r="CB42" i="56" l="1"/>
  <c r="CK49" i="56"/>
  <c r="CJ49" i="56"/>
  <c r="CE49" i="56"/>
  <c r="CD49" i="56"/>
  <c r="CB49" i="56"/>
  <c r="CK48" i="56"/>
  <c r="CJ48" i="56"/>
  <c r="CE48" i="56"/>
  <c r="CD48" i="56"/>
  <c r="CB48" i="56"/>
  <c r="CJ47" i="56"/>
  <c r="CD47" i="56"/>
  <c r="CC47" i="56"/>
  <c r="CK47" i="56" s="1"/>
  <c r="CB47" i="56"/>
  <c r="CE47" i="56" l="1"/>
  <c r="CK76" i="56" l="1"/>
  <c r="CJ76" i="56"/>
  <c r="CB76" i="56"/>
  <c r="BU76" i="56"/>
  <c r="BT76" i="56"/>
  <c r="CK75" i="56"/>
  <c r="CJ75" i="56"/>
  <c r="BZ75" i="56"/>
  <c r="BY75" i="56"/>
  <c r="BV75" i="56"/>
  <c r="BU75" i="56"/>
  <c r="BT75" i="56"/>
  <c r="CK74" i="56"/>
  <c r="CJ74" i="56"/>
  <c r="CA74" i="56"/>
  <c r="BZ74" i="56"/>
  <c r="BY74" i="56"/>
  <c r="BV74" i="56"/>
  <c r="BU74" i="56"/>
  <c r="BT74" i="56"/>
  <c r="CK73" i="56"/>
  <c r="CJ73" i="56"/>
  <c r="CA73" i="56"/>
  <c r="BZ73" i="56"/>
  <c r="BY73" i="56"/>
  <c r="BV73" i="56"/>
  <c r="BU73" i="56"/>
  <c r="BT73" i="56"/>
  <c r="CK72" i="56"/>
  <c r="CJ72" i="56"/>
  <c r="CB72" i="56"/>
  <c r="BV72" i="56"/>
  <c r="BU72" i="56"/>
  <c r="BT72" i="56"/>
  <c r="CK71" i="56"/>
  <c r="CJ71" i="56"/>
  <c r="CA71" i="56"/>
  <c r="CB71" i="56" s="1"/>
  <c r="BV71" i="56"/>
  <c r="BU71" i="56"/>
  <c r="BT71" i="56"/>
  <c r="CK70" i="56"/>
  <c r="CJ70" i="56"/>
  <c r="CA70" i="56"/>
  <c r="CB70" i="56" s="1"/>
  <c r="BV70" i="56"/>
  <c r="BU70" i="56"/>
  <c r="BT70" i="56"/>
  <c r="CK69" i="56"/>
  <c r="CJ69" i="56"/>
  <c r="BZ69" i="56"/>
  <c r="CB69" i="56" s="1"/>
  <c r="BV69" i="56"/>
  <c r="BU69" i="56"/>
  <c r="BT69" i="56"/>
  <c r="CK68" i="56"/>
  <c r="CJ68" i="56"/>
  <c r="BZ68" i="56"/>
  <c r="CB68" i="56" s="1"/>
  <c r="BV68" i="56"/>
  <c r="BU68" i="56"/>
  <c r="BT68" i="56"/>
  <c r="CK67" i="56"/>
  <c r="CJ67" i="56"/>
  <c r="BZ67" i="56"/>
  <c r="BY67" i="56"/>
  <c r="BV67" i="56"/>
  <c r="BU67" i="56"/>
  <c r="BT67" i="56"/>
  <c r="CK66" i="56"/>
  <c r="CJ66" i="56"/>
  <c r="BY66" i="56"/>
  <c r="CB66" i="56" s="1"/>
  <c r="BV66" i="56"/>
  <c r="BU66" i="56"/>
  <c r="BT66" i="56"/>
  <c r="CK65" i="56"/>
  <c r="CJ65" i="56"/>
  <c r="BY65" i="56"/>
  <c r="CB65" i="56" s="1"/>
  <c r="BV65" i="56"/>
  <c r="BU65" i="56"/>
  <c r="BT65" i="56"/>
  <c r="CK64" i="56"/>
  <c r="CJ64" i="56"/>
  <c r="CB64" i="56"/>
  <c r="BV64" i="56"/>
  <c r="BU64" i="56"/>
  <c r="BT64" i="56"/>
  <c r="CK63" i="56"/>
  <c r="CJ63" i="56"/>
  <c r="CA63" i="56"/>
  <c r="BZ63" i="56"/>
  <c r="BY63" i="56"/>
  <c r="BV63" i="56"/>
  <c r="BU63" i="56"/>
  <c r="BT63" i="56"/>
  <c r="CK62" i="56"/>
  <c r="CJ62" i="56"/>
  <c r="BY62" i="56"/>
  <c r="CB62" i="56" s="1"/>
  <c r="BV62" i="56"/>
  <c r="BU62" i="56"/>
  <c r="BT62" i="56"/>
  <c r="CK61" i="56"/>
  <c r="CJ61" i="56"/>
  <c r="CA61" i="56"/>
  <c r="BZ61" i="56"/>
  <c r="BY61" i="56"/>
  <c r="BV61" i="56"/>
  <c r="BU61" i="56"/>
  <c r="BT61" i="56"/>
  <c r="CK60" i="56"/>
  <c r="CJ60" i="56"/>
  <c r="CA60" i="56"/>
  <c r="CB60" i="56" s="1"/>
  <c r="BV60" i="56"/>
  <c r="BU60" i="56"/>
  <c r="BT60" i="56"/>
  <c r="CK59" i="56"/>
  <c r="CJ59" i="56"/>
  <c r="CB59" i="56"/>
  <c r="BV59" i="56"/>
  <c r="BU59" i="56"/>
  <c r="BT59" i="56"/>
  <c r="BW76" i="56" l="1"/>
  <c r="CB74" i="56"/>
  <c r="BW69" i="56"/>
  <c r="BW71" i="56"/>
  <c r="BW73" i="56"/>
  <c r="BW74" i="56"/>
  <c r="BW64" i="56"/>
  <c r="BW66" i="56"/>
  <c r="BW68" i="56"/>
  <c r="BW75" i="56"/>
  <c r="BW70" i="56"/>
  <c r="BW72" i="56"/>
  <c r="CB61" i="56"/>
  <c r="BW67" i="56"/>
  <c r="CB73" i="56"/>
  <c r="BW59" i="56"/>
  <c r="BW61" i="56"/>
  <c r="CB63" i="56"/>
  <c r="CB67" i="56"/>
  <c r="CB75" i="56"/>
  <c r="BW60" i="56"/>
  <c r="BW63" i="56"/>
  <c r="BW65" i="56"/>
  <c r="BW62" i="56"/>
  <c r="CK88" i="56"/>
  <c r="CJ88" i="56"/>
  <c r="CA88" i="56"/>
  <c r="BY88" i="56"/>
  <c r="BV88" i="56"/>
  <c r="BU88" i="56"/>
  <c r="BT88" i="56"/>
  <c r="CK87" i="56"/>
  <c r="CJ87" i="56"/>
  <c r="CB87" i="56"/>
  <c r="BV87" i="56"/>
  <c r="BU87" i="56"/>
  <c r="BT87" i="56"/>
  <c r="CK86" i="56"/>
  <c r="CJ86" i="56"/>
  <c r="CA86" i="56"/>
  <c r="BZ86" i="56"/>
  <c r="BV86" i="56"/>
  <c r="BU86" i="56"/>
  <c r="BT86" i="56"/>
  <c r="CK85" i="56"/>
  <c r="CJ85" i="56"/>
  <c r="BY85" i="56"/>
  <c r="CB85" i="56" s="1"/>
  <c r="BV85" i="56"/>
  <c r="BU85" i="56"/>
  <c r="BT85" i="56"/>
  <c r="CB84" i="56"/>
  <c r="BW84" i="56"/>
  <c r="CB83" i="56"/>
  <c r="BW83" i="56"/>
  <c r="CB82" i="56"/>
  <c r="CK81" i="56"/>
  <c r="CJ81" i="56"/>
  <c r="CB81" i="56"/>
  <c r="BV81" i="56"/>
  <c r="BU81" i="56"/>
  <c r="BT81" i="56"/>
  <c r="CK80" i="56"/>
  <c r="CJ80" i="56"/>
  <c r="CB80" i="56"/>
  <c r="BV80" i="56"/>
  <c r="BW80" i="56" s="1"/>
  <c r="CK79" i="56"/>
  <c r="CJ79" i="56"/>
  <c r="BY79" i="56"/>
  <c r="CB79" i="56" s="1"/>
  <c r="BV79" i="56"/>
  <c r="BU79" i="56"/>
  <c r="BT79" i="56"/>
  <c r="CK78" i="56"/>
  <c r="CJ78" i="56"/>
  <c r="CB78" i="56"/>
  <c r="BV78" i="56"/>
  <c r="BW78" i="56" s="1"/>
  <c r="CJ77" i="56"/>
  <c r="CK77" i="56" s="1"/>
  <c r="CB77" i="56"/>
  <c r="BW79" i="56" l="1"/>
  <c r="CB86" i="56"/>
  <c r="BW81" i="56"/>
  <c r="CB88" i="56"/>
  <c r="BW86" i="56"/>
  <c r="BW85" i="56"/>
  <c r="BW87" i="56"/>
  <c r="BW88" i="56"/>
  <c r="CJ326" i="56" l="1"/>
  <c r="CK326" i="56" s="1"/>
  <c r="CB326" i="56"/>
  <c r="BW326" i="56"/>
  <c r="CJ325" i="56"/>
  <c r="CK325" i="56" s="1"/>
  <c r="CB325" i="56"/>
  <c r="BW325" i="56"/>
  <c r="CJ324" i="56"/>
  <c r="CK324" i="56" s="1"/>
  <c r="CB324" i="56"/>
  <c r="BW324" i="56"/>
  <c r="CJ323" i="56"/>
  <c r="CK323" i="56" s="1"/>
  <c r="CB323" i="56"/>
  <c r="BW323" i="56"/>
  <c r="CJ322" i="56"/>
  <c r="CK322" i="56" s="1"/>
  <c r="CB322" i="56"/>
  <c r="BW322" i="56"/>
  <c r="CJ321" i="56"/>
  <c r="CK321" i="56" s="1"/>
  <c r="CB321" i="56"/>
  <c r="BW321" i="56"/>
  <c r="CJ320" i="56"/>
  <c r="CK320" i="56" s="1"/>
  <c r="CB320" i="56"/>
  <c r="BW320" i="56"/>
  <c r="CJ319" i="56"/>
  <c r="CK319" i="56" s="1"/>
  <c r="CB319" i="56"/>
  <c r="BW319" i="56"/>
  <c r="CJ318" i="56"/>
  <c r="CK318" i="56" s="1"/>
  <c r="CB318" i="56"/>
  <c r="BW318" i="56"/>
  <c r="CJ317" i="56"/>
  <c r="CK317" i="56" s="1"/>
  <c r="CB317" i="56"/>
  <c r="BW317" i="56"/>
  <c r="CJ316" i="56"/>
  <c r="CK316" i="56" s="1"/>
  <c r="CB316" i="56"/>
  <c r="BW316" i="56"/>
  <c r="CJ315" i="56"/>
  <c r="CK315" i="56" s="1"/>
  <c r="CB315" i="56"/>
  <c r="BW315" i="56"/>
  <c r="CJ314" i="56"/>
  <c r="CK314" i="56" s="1"/>
  <c r="CB314" i="56"/>
  <c r="BW314" i="56"/>
  <c r="CJ313" i="56"/>
  <c r="CK313" i="56" s="1"/>
  <c r="CB313" i="56"/>
  <c r="BW313" i="56"/>
  <c r="CJ312" i="56"/>
  <c r="CK312" i="56" s="1"/>
  <c r="CB312" i="56"/>
  <c r="BW312" i="56"/>
  <c r="CJ309" i="56"/>
  <c r="CK309" i="56" s="1"/>
  <c r="CB309" i="56"/>
  <c r="BW309" i="56"/>
  <c r="CJ308" i="56"/>
  <c r="CK308" i="56" s="1"/>
  <c r="CB308" i="56"/>
  <c r="BW308" i="56"/>
  <c r="CJ307" i="56"/>
  <c r="CC307" i="56"/>
  <c r="CB307" i="56"/>
  <c r="CJ306" i="56"/>
  <c r="CC306" i="56"/>
  <c r="CB306" i="56"/>
  <c r="CJ305" i="56"/>
  <c r="CC305" i="56"/>
  <c r="CK305" i="56" s="1"/>
  <c r="CB305" i="56"/>
  <c r="CK304" i="56"/>
  <c r="CJ304" i="56"/>
  <c r="CB304" i="56"/>
  <c r="CJ303" i="56"/>
  <c r="CC303" i="56"/>
  <c r="CK303" i="56" s="1"/>
  <c r="CB303" i="56"/>
  <c r="CJ302" i="56"/>
  <c r="CC302" i="56"/>
  <c r="CK302" i="56" s="1"/>
  <c r="CB302" i="56"/>
  <c r="CK301" i="56"/>
  <c r="CJ301" i="56"/>
  <c r="CB301" i="56"/>
  <c r="CJ300" i="56"/>
  <c r="CC300" i="56"/>
  <c r="CK300" i="56" s="1"/>
  <c r="CB300" i="56"/>
  <c r="BW300" i="56"/>
  <c r="CJ299" i="56"/>
  <c r="CC299" i="56"/>
  <c r="CK299" i="56" s="1"/>
  <c r="CB299" i="56"/>
  <c r="BW299" i="56"/>
  <c r="CJ298" i="56"/>
  <c r="CB298" i="56"/>
  <c r="BX298" i="56"/>
  <c r="CC298" i="56" s="1"/>
  <c r="CK298" i="56" s="1"/>
  <c r="BW298" i="56"/>
  <c r="CJ297" i="56"/>
  <c r="CB297" i="56"/>
  <c r="BX297" i="56"/>
  <c r="CC297" i="56" s="1"/>
  <c r="CK297" i="56" s="1"/>
  <c r="BW297" i="56"/>
  <c r="CJ296" i="56"/>
  <c r="CB296" i="56"/>
  <c r="BX296" i="56"/>
  <c r="CC296" i="56" s="1"/>
  <c r="CK296" i="56" s="1"/>
  <c r="BW296" i="56"/>
  <c r="CJ295" i="56"/>
  <c r="CC295" i="56"/>
  <c r="CK295" i="56" s="1"/>
  <c r="CB295" i="56"/>
  <c r="CK294" i="56"/>
  <c r="CJ294" i="56"/>
  <c r="CB294" i="56"/>
  <c r="CJ293" i="56"/>
  <c r="CC293" i="56"/>
  <c r="CK293" i="56" s="1"/>
  <c r="CB293" i="56"/>
  <c r="CJ292" i="56"/>
  <c r="CC292" i="56"/>
  <c r="CK292" i="56" s="1"/>
  <c r="CB292" i="56"/>
  <c r="CK291" i="56"/>
  <c r="CJ291" i="56"/>
  <c r="CB291" i="56"/>
  <c r="CJ290" i="56"/>
  <c r="CC290" i="56"/>
  <c r="CK290" i="56" s="1"/>
  <c r="CB290" i="56"/>
  <c r="BW290" i="56"/>
  <c r="CJ289" i="56"/>
  <c r="CC289" i="56"/>
  <c r="CK289" i="56" s="1"/>
  <c r="CB289" i="56"/>
  <c r="BW289" i="56"/>
  <c r="CJ288" i="56"/>
  <c r="CC288" i="56"/>
  <c r="CK288" i="56" s="1"/>
  <c r="CB288" i="56"/>
  <c r="BW288" i="56"/>
  <c r="CJ287" i="56"/>
  <c r="CC287" i="56"/>
  <c r="CK287" i="56" s="1"/>
  <c r="CB287" i="56"/>
  <c r="BW287" i="56"/>
  <c r="CJ286" i="56"/>
  <c r="CC286" i="56"/>
  <c r="CK286" i="56" s="1"/>
  <c r="CB286" i="56"/>
  <c r="BW286" i="56"/>
  <c r="CJ285" i="56"/>
  <c r="CC285" i="56"/>
  <c r="CK285" i="56" s="1"/>
  <c r="CB285" i="56"/>
  <c r="BW285" i="56"/>
  <c r="CJ284" i="56"/>
  <c r="CC284" i="56"/>
  <c r="CK284" i="56" s="1"/>
  <c r="CB284" i="56"/>
  <c r="BW284" i="56"/>
  <c r="CJ283" i="56"/>
  <c r="CC283" i="56"/>
  <c r="CK283" i="56" s="1"/>
  <c r="CB283" i="56"/>
  <c r="BW283" i="56"/>
  <c r="CK282" i="56"/>
  <c r="CJ282" i="56"/>
  <c r="CB282" i="56"/>
  <c r="CJ281" i="56"/>
  <c r="CC281" i="56"/>
  <c r="CK281" i="56" s="1"/>
  <c r="CB281" i="56"/>
  <c r="BW281" i="56"/>
  <c r="CJ280" i="56"/>
  <c r="CC280" i="56"/>
  <c r="CK280" i="56" s="1"/>
  <c r="CB280" i="56"/>
  <c r="BW280" i="56"/>
  <c r="CJ279" i="56"/>
  <c r="CC279" i="56"/>
  <c r="CK279" i="56" s="1"/>
  <c r="CB279" i="56"/>
  <c r="BW279" i="56"/>
  <c r="CJ278" i="56"/>
  <c r="CC278" i="56"/>
  <c r="CK278" i="56" s="1"/>
  <c r="CB278" i="56"/>
  <c r="CJ277" i="56"/>
  <c r="CC277" i="56"/>
  <c r="CK277" i="56" s="1"/>
  <c r="CB277" i="56"/>
  <c r="BW277" i="56"/>
  <c r="CK276" i="56"/>
  <c r="CJ276" i="56"/>
  <c r="CB276" i="56"/>
  <c r="BW276" i="56"/>
  <c r="CJ275" i="56"/>
  <c r="CC275" i="56"/>
  <c r="CK275" i="56" s="1"/>
  <c r="CB275" i="56"/>
  <c r="CK274" i="56"/>
  <c r="CJ274" i="56"/>
  <c r="CB274" i="56"/>
  <c r="CJ273" i="56"/>
  <c r="CC273" i="56"/>
  <c r="CK273" i="56" s="1"/>
  <c r="CB273" i="56"/>
  <c r="BW273" i="56"/>
  <c r="CJ272" i="56"/>
  <c r="CC272" i="56"/>
  <c r="CK272" i="56" s="1"/>
  <c r="CB272" i="56"/>
  <c r="BW272" i="56"/>
  <c r="CJ271" i="56"/>
  <c r="CC271" i="56"/>
  <c r="CK271" i="56" s="1"/>
  <c r="CB271" i="56"/>
  <c r="BW271" i="56"/>
  <c r="CJ270" i="56"/>
  <c r="CC270" i="56"/>
  <c r="CK270" i="56" s="1"/>
  <c r="CB270" i="56"/>
  <c r="BW270" i="56"/>
  <c r="CK269" i="56"/>
  <c r="CJ269" i="56"/>
  <c r="CB269" i="56"/>
  <c r="CK268" i="56"/>
  <c r="CJ268" i="56"/>
  <c r="CB268" i="56"/>
  <c r="CK267" i="56"/>
  <c r="CJ267" i="56"/>
  <c r="CB267" i="56"/>
  <c r="CK266" i="56"/>
  <c r="CJ266" i="56"/>
  <c r="CB266" i="56"/>
  <c r="CK265" i="56"/>
  <c r="CJ265" i="56"/>
  <c r="CB265" i="56"/>
  <c r="CJ264" i="56"/>
  <c r="CC264" i="56"/>
  <c r="CK264" i="56" s="1"/>
  <c r="CB264" i="56"/>
  <c r="BW264" i="56"/>
  <c r="CJ263" i="56"/>
  <c r="CB263" i="56"/>
  <c r="BX263" i="56"/>
  <c r="CC263" i="56" s="1"/>
  <c r="CK263" i="56" s="1"/>
  <c r="BW263" i="56"/>
  <c r="CJ262" i="56"/>
  <c r="CC262" i="56"/>
  <c r="CK262" i="56" s="1"/>
  <c r="CB262" i="56"/>
  <c r="BW262" i="56"/>
  <c r="CK261" i="56"/>
  <c r="CJ261" i="56"/>
  <c r="CB261" i="56"/>
  <c r="CJ260" i="56"/>
  <c r="CC260" i="56"/>
  <c r="CK260" i="56" s="1"/>
  <c r="CB260" i="56"/>
  <c r="BW260" i="56"/>
  <c r="CJ259" i="56"/>
  <c r="CC259" i="56"/>
  <c r="CK259" i="56" s="1"/>
  <c r="CB259" i="56"/>
  <c r="BW259" i="56"/>
  <c r="CJ258" i="56"/>
  <c r="CC258" i="56"/>
  <c r="CK258" i="56" s="1"/>
  <c r="CB258" i="56"/>
  <c r="BW258" i="56"/>
  <c r="CJ257" i="56"/>
  <c r="CB257" i="56"/>
  <c r="BX257" i="56"/>
  <c r="CC257" i="56" s="1"/>
  <c r="CK257" i="56" s="1"/>
  <c r="BW257" i="56"/>
  <c r="CJ256" i="56"/>
  <c r="CC256" i="56"/>
  <c r="CK256" i="56" s="1"/>
  <c r="CB256" i="56"/>
  <c r="CJ255" i="56"/>
  <c r="CC255" i="56"/>
  <c r="CK255" i="56" s="1"/>
  <c r="CB255" i="56"/>
  <c r="BW255" i="56"/>
  <c r="CK254" i="56"/>
  <c r="CJ254" i="56"/>
  <c r="CB254" i="56"/>
  <c r="CJ253" i="56"/>
  <c r="CC253" i="56"/>
  <c r="CK253" i="56" s="1"/>
  <c r="CB253" i="56"/>
  <c r="CJ252" i="56"/>
  <c r="CC252" i="56"/>
  <c r="CK252" i="56" s="1"/>
  <c r="CB252" i="56"/>
  <c r="CJ251" i="56"/>
  <c r="CC251" i="56"/>
  <c r="CK251" i="56" s="1"/>
  <c r="CB251" i="56"/>
  <c r="CJ250" i="56"/>
  <c r="CC250" i="56"/>
  <c r="CK250" i="56" s="1"/>
  <c r="CB250" i="56"/>
  <c r="CJ249" i="56"/>
  <c r="CC249" i="56"/>
  <c r="CK249" i="56" s="1"/>
  <c r="CB249" i="56"/>
  <c r="BW249" i="56"/>
  <c r="CJ248" i="56"/>
  <c r="CC248" i="56"/>
  <c r="CK248" i="56" s="1"/>
  <c r="CB248" i="56"/>
  <c r="BW248" i="56"/>
  <c r="CK247" i="56"/>
  <c r="CJ247" i="56"/>
  <c r="CB247" i="56"/>
  <c r="CJ246" i="56"/>
  <c r="CC246" i="56"/>
  <c r="CK246" i="56" s="1"/>
  <c r="CB246" i="56"/>
  <c r="BW246" i="56"/>
  <c r="CJ245" i="56"/>
  <c r="CC245" i="56"/>
  <c r="CK245" i="56" s="1"/>
  <c r="CB245" i="56"/>
  <c r="BW245" i="56"/>
  <c r="CJ244" i="56"/>
  <c r="CC244" i="56"/>
  <c r="CK244" i="56" s="1"/>
  <c r="CB244" i="56"/>
  <c r="BW244" i="56"/>
  <c r="CJ243" i="56"/>
  <c r="CC243" i="56"/>
  <c r="CK243" i="56" s="1"/>
  <c r="CB243" i="56"/>
  <c r="CJ242" i="56"/>
  <c r="CC242" i="56"/>
  <c r="CK242" i="56" s="1"/>
  <c r="CB242" i="56"/>
  <c r="BW242" i="56"/>
  <c r="CJ241" i="56"/>
  <c r="CC241" i="56"/>
  <c r="CK241" i="56" s="1"/>
  <c r="CB241" i="56"/>
  <c r="CJ240" i="56"/>
  <c r="CC240" i="56"/>
  <c r="CK240" i="56" s="1"/>
  <c r="CB240" i="56"/>
  <c r="BW240" i="56"/>
  <c r="CK239" i="56"/>
  <c r="CJ239" i="56"/>
  <c r="CB239" i="56"/>
  <c r="CK238" i="56"/>
  <c r="CJ238" i="56"/>
  <c r="CB238" i="56"/>
  <c r="CK237" i="56"/>
  <c r="CJ237" i="56"/>
  <c r="CB237" i="56"/>
  <c r="CJ236" i="56"/>
  <c r="CC236" i="56"/>
  <c r="CK236" i="56" s="1"/>
  <c r="CB236" i="56"/>
  <c r="BW236" i="56"/>
  <c r="CK235" i="56"/>
  <c r="CJ235" i="56"/>
  <c r="CB235" i="56"/>
  <c r="CK234" i="56"/>
  <c r="CJ234" i="56"/>
  <c r="CB234" i="56"/>
  <c r="CJ233" i="56"/>
  <c r="CC233" i="56"/>
  <c r="CK233" i="56" s="1"/>
  <c r="CB233" i="56"/>
  <c r="CJ232" i="56"/>
  <c r="CC232" i="56"/>
  <c r="CK232" i="56" s="1"/>
  <c r="CB232" i="56"/>
  <c r="CJ231" i="56"/>
  <c r="CC231" i="56"/>
  <c r="CK231" i="56" s="1"/>
  <c r="CB231" i="56"/>
  <c r="CJ230" i="56"/>
  <c r="CC230" i="56"/>
  <c r="CK230" i="56" s="1"/>
  <c r="CB230" i="56"/>
  <c r="CJ229" i="56"/>
  <c r="CC229" i="56"/>
  <c r="CK229" i="56" s="1"/>
  <c r="CB229" i="56"/>
  <c r="BW229" i="56"/>
  <c r="CJ228" i="56"/>
  <c r="CC228" i="56"/>
  <c r="CK228" i="56" s="1"/>
  <c r="CB228" i="56"/>
  <c r="CJ227" i="56"/>
  <c r="CC227" i="56"/>
  <c r="CK227" i="56" s="1"/>
  <c r="CB227" i="56"/>
  <c r="CJ226" i="56"/>
  <c r="CC226" i="56"/>
  <c r="CK226" i="56" s="1"/>
  <c r="CB226" i="56"/>
  <c r="CJ225" i="56"/>
  <c r="CC225" i="56"/>
  <c r="CK225" i="56" s="1"/>
  <c r="CB225" i="56"/>
  <c r="CK224" i="56"/>
  <c r="CJ224" i="56"/>
  <c r="CB224" i="56"/>
  <c r="CJ223" i="56"/>
  <c r="CC223" i="56"/>
  <c r="CK223" i="56" s="1"/>
  <c r="CB223" i="56"/>
  <c r="CJ222" i="56"/>
  <c r="CC222" i="56"/>
  <c r="CK222" i="56" s="1"/>
  <c r="CB222" i="56"/>
  <c r="CJ221" i="56"/>
  <c r="CC221" i="56"/>
  <c r="CK221" i="56" s="1"/>
  <c r="CB221" i="56"/>
  <c r="CJ220" i="56"/>
  <c r="CC220" i="56"/>
  <c r="CK220" i="56" s="1"/>
  <c r="CB220" i="56"/>
  <c r="CJ219" i="56"/>
  <c r="CC219" i="56"/>
  <c r="CK219" i="56" s="1"/>
  <c r="CB219" i="56"/>
  <c r="CJ218" i="56"/>
  <c r="CC218" i="56"/>
  <c r="CK218" i="56" s="1"/>
  <c r="CB218" i="56"/>
  <c r="BW218" i="56"/>
  <c r="CJ217" i="56"/>
  <c r="CB217" i="56"/>
  <c r="CK217" i="56" s="1"/>
  <c r="CJ216" i="56"/>
  <c r="CC216" i="56"/>
  <c r="CK216" i="56" s="1"/>
  <c r="CB216" i="56"/>
  <c r="BW216" i="56"/>
  <c r="CJ215" i="56"/>
  <c r="CC215" i="56"/>
  <c r="CK215" i="56" s="1"/>
  <c r="CB215" i="56"/>
  <c r="BW215" i="56"/>
  <c r="CJ214" i="56"/>
  <c r="CB214" i="56"/>
  <c r="BX214" i="56"/>
  <c r="CC214" i="56" s="1"/>
  <c r="CK214" i="56" s="1"/>
  <c r="BW214" i="56"/>
  <c r="CJ213" i="56"/>
  <c r="CC213" i="56"/>
  <c r="CK213" i="56" s="1"/>
  <c r="CB213" i="56"/>
  <c r="BW213" i="56"/>
  <c r="CJ212" i="56"/>
  <c r="CC212" i="56"/>
  <c r="CK212" i="56" s="1"/>
  <c r="CB212" i="56"/>
  <c r="BW212" i="56"/>
  <c r="CJ211" i="56"/>
  <c r="CC211" i="56"/>
  <c r="CK211" i="56" s="1"/>
  <c r="CB211" i="56"/>
  <c r="BW211" i="56"/>
  <c r="CJ210" i="56"/>
  <c r="CC210" i="56"/>
  <c r="CK210" i="56" s="1"/>
  <c r="CB210" i="56"/>
  <c r="CJ209" i="56"/>
  <c r="CC209" i="56"/>
  <c r="CK209" i="56" s="1"/>
  <c r="CB209" i="56"/>
  <c r="CK208" i="56"/>
  <c r="CJ208" i="56"/>
  <c r="CB208" i="56"/>
  <c r="CJ207" i="56"/>
  <c r="CC207" i="56"/>
  <c r="CK207" i="56" s="1"/>
  <c r="CB207" i="56"/>
  <c r="CK204" i="56"/>
  <c r="CJ204" i="56"/>
  <c r="CB204" i="56"/>
  <c r="CJ203" i="56"/>
  <c r="CC203" i="56"/>
  <c r="CK203" i="56" s="1"/>
  <c r="CB203" i="56"/>
  <c r="CK202" i="56"/>
  <c r="CJ202" i="56"/>
  <c r="CB202" i="56"/>
  <c r="CK201" i="56"/>
  <c r="CJ201" i="56"/>
  <c r="CB201" i="56"/>
  <c r="CJ200" i="56"/>
  <c r="CC200" i="56"/>
  <c r="CK200" i="56" s="1"/>
  <c r="CB200" i="56"/>
  <c r="CJ199" i="56"/>
  <c r="CC199" i="56"/>
  <c r="CK199" i="56" s="1"/>
  <c r="CB199" i="56"/>
  <c r="CJ198" i="56"/>
  <c r="CA198" i="56"/>
  <c r="BZ198" i="56"/>
  <c r="BY198" i="56"/>
  <c r="BX198" i="56"/>
  <c r="CC198" i="56" s="1"/>
  <c r="CK198" i="56" s="1"/>
  <c r="BV198" i="56"/>
  <c r="BU198" i="56"/>
  <c r="BT198" i="56"/>
  <c r="CJ197" i="56"/>
  <c r="CA197" i="56"/>
  <c r="BZ197" i="56"/>
  <c r="BY197" i="56"/>
  <c r="BX197" i="56"/>
  <c r="CC197" i="56" s="1"/>
  <c r="CK197" i="56" s="1"/>
  <c r="BV197" i="56"/>
  <c r="BU197" i="56"/>
  <c r="BT197" i="56"/>
  <c r="CJ196" i="56"/>
  <c r="CA196" i="56"/>
  <c r="BZ196" i="56"/>
  <c r="BY196" i="56"/>
  <c r="BX196" i="56"/>
  <c r="CC196" i="56" s="1"/>
  <c r="CK196" i="56" s="1"/>
  <c r="BV196" i="56"/>
  <c r="BU196" i="56"/>
  <c r="BT196" i="56"/>
  <c r="CJ195" i="56"/>
  <c r="CA195" i="56"/>
  <c r="BZ195" i="56"/>
  <c r="BY195" i="56"/>
  <c r="BX195" i="56"/>
  <c r="CC195" i="56" s="1"/>
  <c r="CK195" i="56" s="1"/>
  <c r="BV195" i="56"/>
  <c r="BU195" i="56"/>
  <c r="BT195" i="56"/>
  <c r="CJ194" i="56"/>
  <c r="CA194" i="56"/>
  <c r="BZ194" i="56"/>
  <c r="BY194" i="56"/>
  <c r="BX194" i="56"/>
  <c r="CC194" i="56" s="1"/>
  <c r="CK194" i="56" s="1"/>
  <c r="CJ193" i="56"/>
  <c r="CA193" i="56"/>
  <c r="BZ193" i="56"/>
  <c r="BY193" i="56"/>
  <c r="BX193" i="56"/>
  <c r="CC193" i="56" s="1"/>
  <c r="CK193" i="56" s="1"/>
  <c r="BV193" i="56"/>
  <c r="BU193" i="56"/>
  <c r="BT193" i="56"/>
  <c r="CJ192" i="56"/>
  <c r="CC192" i="56"/>
  <c r="CK192" i="56" s="1"/>
  <c r="CA192" i="56"/>
  <c r="BZ192" i="56"/>
  <c r="BY192" i="56"/>
  <c r="CJ191" i="56"/>
  <c r="CC191" i="56"/>
  <c r="CK191" i="56" s="1"/>
  <c r="CA191" i="56"/>
  <c r="BZ191" i="56"/>
  <c r="BY191" i="56"/>
  <c r="CJ190" i="56"/>
  <c r="CC190" i="56"/>
  <c r="CK190" i="56" s="1"/>
  <c r="CA190" i="56"/>
  <c r="BZ190" i="56"/>
  <c r="BY190" i="56"/>
  <c r="CJ189" i="56"/>
  <c r="CC189" i="56"/>
  <c r="CK189" i="56" s="1"/>
  <c r="CA189" i="56"/>
  <c r="BZ189" i="56"/>
  <c r="BY189" i="56"/>
  <c r="CJ188" i="56"/>
  <c r="CC188" i="56"/>
  <c r="CK188" i="56" s="1"/>
  <c r="CA188" i="56"/>
  <c r="BZ188" i="56"/>
  <c r="BY188" i="56"/>
  <c r="CJ187" i="56"/>
  <c r="CC187" i="56"/>
  <c r="CK187" i="56" s="1"/>
  <c r="CA187" i="56"/>
  <c r="BZ187" i="56"/>
  <c r="BY187" i="56"/>
  <c r="CJ186" i="56"/>
  <c r="CC186" i="56"/>
  <c r="CK186" i="56" s="1"/>
  <c r="CA186" i="56"/>
  <c r="BZ186" i="56"/>
  <c r="BY186" i="56"/>
  <c r="CJ185" i="56"/>
  <c r="CA185" i="56"/>
  <c r="BZ185" i="56"/>
  <c r="BY185" i="56"/>
  <c r="BX185" i="56"/>
  <c r="CC185" i="56" s="1"/>
  <c r="CK185" i="56" s="1"/>
  <c r="BV185" i="56"/>
  <c r="BU185" i="56"/>
  <c r="BT185" i="56"/>
  <c r="CJ184" i="56"/>
  <c r="CA184" i="56"/>
  <c r="BZ184" i="56"/>
  <c r="BY184" i="56"/>
  <c r="BX184" i="56"/>
  <c r="CC184" i="56" s="1"/>
  <c r="CK184" i="56" s="1"/>
  <c r="BV184" i="56"/>
  <c r="BU184" i="56"/>
  <c r="BT184" i="56"/>
  <c r="CJ183" i="56"/>
  <c r="CC183" i="56"/>
  <c r="CK183" i="56" s="1"/>
  <c r="CA183" i="56"/>
  <c r="BZ183" i="56"/>
  <c r="BY183" i="56"/>
  <c r="CJ182" i="56"/>
  <c r="CA182" i="56"/>
  <c r="BZ182" i="56"/>
  <c r="BY182" i="56"/>
  <c r="BX182" i="56"/>
  <c r="CC182" i="56" s="1"/>
  <c r="CK182" i="56" s="1"/>
  <c r="BW182" i="56"/>
  <c r="CJ181" i="56"/>
  <c r="CA181" i="56"/>
  <c r="BZ181" i="56"/>
  <c r="BY181" i="56"/>
  <c r="BX181" i="56"/>
  <c r="CC181" i="56" s="1"/>
  <c r="CK181" i="56" s="1"/>
  <c r="BV181" i="56"/>
  <c r="BU181" i="56"/>
  <c r="BT181" i="56"/>
  <c r="CJ180" i="56"/>
  <c r="CA180" i="56"/>
  <c r="BZ180" i="56"/>
  <c r="BY180" i="56"/>
  <c r="BX180" i="56"/>
  <c r="CC180" i="56" s="1"/>
  <c r="CK180" i="56" s="1"/>
  <c r="BV180" i="56"/>
  <c r="BU180" i="56"/>
  <c r="BT180" i="56"/>
  <c r="CJ179" i="56"/>
  <c r="CA179" i="56"/>
  <c r="BZ179" i="56"/>
  <c r="BY179" i="56"/>
  <c r="BX179" i="56"/>
  <c r="CC179" i="56" s="1"/>
  <c r="CK179" i="56" s="1"/>
  <c r="BV179" i="56"/>
  <c r="BU179" i="56"/>
  <c r="BT179" i="56"/>
  <c r="CJ178" i="56"/>
  <c r="CC178" i="56"/>
  <c r="CK178" i="56" s="1"/>
  <c r="CA178" i="56"/>
  <c r="BZ178" i="56"/>
  <c r="BY178" i="56"/>
  <c r="CJ177" i="56"/>
  <c r="CA177" i="56"/>
  <c r="BZ177" i="56"/>
  <c r="BY177" i="56"/>
  <c r="BX177" i="56"/>
  <c r="CC177" i="56" s="1"/>
  <c r="CK177" i="56" s="1"/>
  <c r="BW177" i="56"/>
  <c r="CJ176" i="56"/>
  <c r="CA176" i="56"/>
  <c r="BZ176" i="56"/>
  <c r="BY176" i="56"/>
  <c r="BX176" i="56"/>
  <c r="CC176" i="56" s="1"/>
  <c r="CK176" i="56" s="1"/>
  <c r="BV176" i="56"/>
  <c r="BU176" i="56"/>
  <c r="BT176" i="56"/>
  <c r="CJ175" i="56"/>
  <c r="CA175" i="56"/>
  <c r="BZ175" i="56"/>
  <c r="BY175" i="56"/>
  <c r="BX175" i="56"/>
  <c r="CC175" i="56" s="1"/>
  <c r="CK175" i="56" s="1"/>
  <c r="BV175" i="56"/>
  <c r="BU175" i="56"/>
  <c r="BT175" i="56"/>
  <c r="CJ174" i="56"/>
  <c r="CA174" i="56"/>
  <c r="BZ174" i="56"/>
  <c r="BY174" i="56"/>
  <c r="BX174" i="56"/>
  <c r="CC174" i="56" s="1"/>
  <c r="CK174" i="56" s="1"/>
  <c r="BW174" i="56"/>
  <c r="CJ173" i="56"/>
  <c r="CC173" i="56"/>
  <c r="CK173" i="56" s="1"/>
  <c r="CA173" i="56"/>
  <c r="BZ173" i="56"/>
  <c r="BY173" i="56"/>
  <c r="CJ159" i="56"/>
  <c r="CC159" i="56"/>
  <c r="CK159" i="56" s="1"/>
  <c r="CA159" i="56"/>
  <c r="BZ159" i="56"/>
  <c r="BY159" i="56"/>
  <c r="CJ158" i="56"/>
  <c r="CA158" i="56"/>
  <c r="BZ158" i="56"/>
  <c r="BY158" i="56"/>
  <c r="BX158" i="56"/>
  <c r="CC158" i="56" s="1"/>
  <c r="CK158" i="56" s="1"/>
  <c r="BV158" i="56"/>
  <c r="BU158" i="56"/>
  <c r="BT158" i="56"/>
  <c r="CJ157" i="56"/>
  <c r="CC157" i="56"/>
  <c r="CK157" i="56" s="1"/>
  <c r="CA157" i="56"/>
  <c r="BZ157" i="56"/>
  <c r="BY157" i="56"/>
  <c r="CJ156" i="56"/>
  <c r="CA156" i="56"/>
  <c r="BZ156" i="56"/>
  <c r="BY156" i="56"/>
  <c r="BX156" i="56"/>
  <c r="CC156" i="56" s="1"/>
  <c r="CK156" i="56" s="1"/>
  <c r="BV156" i="56"/>
  <c r="BU156" i="56"/>
  <c r="BT156" i="56"/>
  <c r="CJ155" i="56"/>
  <c r="CA155" i="56"/>
  <c r="BZ155" i="56"/>
  <c r="BY155" i="56"/>
  <c r="BX155" i="56"/>
  <c r="CC155" i="56" s="1"/>
  <c r="CK155" i="56" s="1"/>
  <c r="BV155" i="56"/>
  <c r="BU155" i="56"/>
  <c r="BT155" i="56"/>
  <c r="CJ154" i="56"/>
  <c r="CA154" i="56"/>
  <c r="BZ154" i="56"/>
  <c r="BY154" i="56"/>
  <c r="BX154" i="56"/>
  <c r="CC154" i="56" s="1"/>
  <c r="CK154" i="56" s="1"/>
  <c r="BV154" i="56"/>
  <c r="BU154" i="56"/>
  <c r="BT154" i="56"/>
  <c r="CJ153" i="56"/>
  <c r="CA153" i="56"/>
  <c r="BZ153" i="56"/>
  <c r="BY153" i="56"/>
  <c r="BX153" i="56"/>
  <c r="CC153" i="56" s="1"/>
  <c r="CK153" i="56" s="1"/>
  <c r="BV153" i="56"/>
  <c r="BU153" i="56"/>
  <c r="BT153" i="56"/>
  <c r="CJ152" i="56"/>
  <c r="CA152" i="56"/>
  <c r="BZ152" i="56"/>
  <c r="BY152" i="56"/>
  <c r="BX152" i="56"/>
  <c r="CC152" i="56" s="1"/>
  <c r="CK152" i="56" s="1"/>
  <c r="BV152" i="56"/>
  <c r="BU152" i="56"/>
  <c r="BT152" i="56"/>
  <c r="CJ151" i="56"/>
  <c r="CA151" i="56"/>
  <c r="BZ151" i="56"/>
  <c r="BY151" i="56"/>
  <c r="BX151" i="56"/>
  <c r="CC151" i="56" s="1"/>
  <c r="CK151" i="56" s="1"/>
  <c r="BV151" i="56"/>
  <c r="BU151" i="56"/>
  <c r="BT151" i="56"/>
  <c r="CJ150" i="56"/>
  <c r="CA150" i="56"/>
  <c r="BZ150" i="56"/>
  <c r="BY150" i="56"/>
  <c r="BX150" i="56"/>
  <c r="CC150" i="56" s="1"/>
  <c r="CK150" i="56" s="1"/>
  <c r="BV150" i="56"/>
  <c r="BU150" i="56"/>
  <c r="BT150" i="56"/>
  <c r="CJ149" i="56"/>
  <c r="CA149" i="56"/>
  <c r="BZ149" i="56"/>
  <c r="BY149" i="56"/>
  <c r="BX149" i="56"/>
  <c r="CC149" i="56" s="1"/>
  <c r="CK149" i="56" s="1"/>
  <c r="BV149" i="56"/>
  <c r="BU149" i="56"/>
  <c r="BT149" i="56"/>
  <c r="CJ148" i="56"/>
  <c r="CA148" i="56"/>
  <c r="BZ148" i="56"/>
  <c r="BY148" i="56"/>
  <c r="BX148" i="56"/>
  <c r="CC148" i="56" s="1"/>
  <c r="CK148" i="56" s="1"/>
  <c r="BV148" i="56"/>
  <c r="BU148" i="56"/>
  <c r="BT148" i="56"/>
  <c r="CJ147" i="56"/>
  <c r="CA147" i="56"/>
  <c r="BZ147" i="56"/>
  <c r="BY147" i="56"/>
  <c r="BX147" i="56"/>
  <c r="CC147" i="56" s="1"/>
  <c r="CK147" i="56" s="1"/>
  <c r="BV147" i="56"/>
  <c r="BU147" i="56"/>
  <c r="BT147" i="56"/>
  <c r="CJ146" i="56"/>
  <c r="CA146" i="56"/>
  <c r="BZ146" i="56"/>
  <c r="BY146" i="56"/>
  <c r="BX146" i="56"/>
  <c r="CC146" i="56" s="1"/>
  <c r="BV146" i="56"/>
  <c r="BU146" i="56"/>
  <c r="BT146" i="56"/>
  <c r="CJ145" i="56"/>
  <c r="CA145" i="56"/>
  <c r="BZ145" i="56"/>
  <c r="BY145" i="56"/>
  <c r="BX145" i="56"/>
  <c r="CC145" i="56" s="1"/>
  <c r="CK145" i="56" s="1"/>
  <c r="BV145" i="56"/>
  <c r="BU145" i="56"/>
  <c r="BT145" i="56"/>
  <c r="CJ144" i="56"/>
  <c r="CA144" i="56"/>
  <c r="BZ144" i="56"/>
  <c r="BY144" i="56"/>
  <c r="BX144" i="56"/>
  <c r="CC144" i="56" s="1"/>
  <c r="CK144" i="56" s="1"/>
  <c r="BV144" i="56"/>
  <c r="BU144" i="56"/>
  <c r="BT144" i="56"/>
  <c r="CJ143" i="56"/>
  <c r="CK143" i="56" s="1"/>
  <c r="CC143" i="56"/>
  <c r="CA143" i="56"/>
  <c r="BZ143" i="56"/>
  <c r="BY143" i="56"/>
  <c r="CJ142" i="56"/>
  <c r="CA142" i="56"/>
  <c r="BZ142" i="56"/>
  <c r="BY142" i="56"/>
  <c r="BX142" i="56"/>
  <c r="BV142" i="56"/>
  <c r="BU142" i="56"/>
  <c r="BT142" i="56"/>
  <c r="CJ141" i="56"/>
  <c r="CA141" i="56"/>
  <c r="BZ141" i="56"/>
  <c r="BY141" i="56"/>
  <c r="BX141" i="56"/>
  <c r="CC141" i="56" s="1"/>
  <c r="CK141" i="56" s="1"/>
  <c r="BV141" i="56"/>
  <c r="BU141" i="56"/>
  <c r="BT141" i="56"/>
  <c r="CJ140" i="56"/>
  <c r="CA140" i="56"/>
  <c r="BZ140" i="56"/>
  <c r="BY140" i="56"/>
  <c r="BX140" i="56"/>
  <c r="CC140" i="56" s="1"/>
  <c r="CK140" i="56" s="1"/>
  <c r="BV140" i="56"/>
  <c r="BU140" i="56"/>
  <c r="BT140" i="56"/>
  <c r="CJ139" i="56"/>
  <c r="CA139" i="56"/>
  <c r="BZ139" i="56"/>
  <c r="BY139" i="56"/>
  <c r="BX139" i="56"/>
  <c r="CC139" i="56" s="1"/>
  <c r="CK139" i="56" s="1"/>
  <c r="BV139" i="56"/>
  <c r="BU139" i="56"/>
  <c r="BT139" i="56"/>
  <c r="CJ138" i="56"/>
  <c r="CA138" i="56"/>
  <c r="BZ138" i="56"/>
  <c r="BY138" i="56"/>
  <c r="BX138" i="56"/>
  <c r="CC138" i="56" s="1"/>
  <c r="CK138" i="56" s="1"/>
  <c r="BV138" i="56"/>
  <c r="BU138" i="56"/>
  <c r="BT138" i="56"/>
  <c r="CJ137" i="56"/>
  <c r="CA137" i="56"/>
  <c r="BZ137" i="56"/>
  <c r="BY137" i="56"/>
  <c r="BX137" i="56"/>
  <c r="CC137" i="56" s="1"/>
  <c r="CK137" i="56" s="1"/>
  <c r="BV137" i="56"/>
  <c r="BU137" i="56"/>
  <c r="BT137" i="56"/>
  <c r="CJ136" i="56"/>
  <c r="CA136" i="56"/>
  <c r="BZ136" i="56"/>
  <c r="BY136" i="56"/>
  <c r="BX136" i="56"/>
  <c r="CC136" i="56" s="1"/>
  <c r="CK136" i="56" s="1"/>
  <c r="BV136" i="56"/>
  <c r="BU136" i="56"/>
  <c r="BT136" i="56"/>
  <c r="CJ135" i="56"/>
  <c r="CA135" i="56"/>
  <c r="BZ135" i="56"/>
  <c r="BY135" i="56"/>
  <c r="BX135" i="56"/>
  <c r="CC135" i="56" s="1"/>
  <c r="CK135" i="56" s="1"/>
  <c r="BV135" i="56"/>
  <c r="BU135" i="56"/>
  <c r="BT135" i="56"/>
  <c r="CJ134" i="56"/>
  <c r="BX134" i="56"/>
  <c r="BV134" i="56"/>
  <c r="BU134" i="56"/>
  <c r="BT134" i="56"/>
  <c r="CJ133" i="56"/>
  <c r="CA133" i="56"/>
  <c r="BZ133" i="56"/>
  <c r="BY133" i="56"/>
  <c r="BX133" i="56"/>
  <c r="CC133" i="56" s="1"/>
  <c r="CK133" i="56" s="1"/>
  <c r="BV133" i="56"/>
  <c r="BU133" i="56"/>
  <c r="BT133" i="56"/>
  <c r="CK132" i="56"/>
  <c r="CJ132" i="56"/>
  <c r="BZ132" i="56"/>
  <c r="CB132" i="56" s="1"/>
  <c r="BV132" i="56"/>
  <c r="BU132" i="56"/>
  <c r="BT132" i="56"/>
  <c r="CJ131" i="56"/>
  <c r="CB131" i="56"/>
  <c r="BX131" i="56"/>
  <c r="BV131" i="56"/>
  <c r="BU131" i="56"/>
  <c r="BT131" i="56"/>
  <c r="CJ130" i="56"/>
  <c r="BZ130" i="56"/>
  <c r="BY130" i="56"/>
  <c r="BX130" i="56"/>
  <c r="BV130" i="56"/>
  <c r="BU130" i="56"/>
  <c r="BT130" i="56"/>
  <c r="CJ128" i="56"/>
  <c r="CB128" i="56"/>
  <c r="BX128" i="56"/>
  <c r="BV128" i="56"/>
  <c r="BU128" i="56"/>
  <c r="BT128" i="56"/>
  <c r="CJ127" i="56"/>
  <c r="CB127" i="56"/>
  <c r="BX127" i="56"/>
  <c r="BV127" i="56"/>
  <c r="BU127" i="56"/>
  <c r="BT127" i="56"/>
  <c r="CJ126" i="56"/>
  <c r="BY126" i="56"/>
  <c r="CB126" i="56" s="1"/>
  <c r="BX126" i="56"/>
  <c r="BV126" i="56"/>
  <c r="BU126" i="56"/>
  <c r="BT126" i="56"/>
  <c r="CJ125" i="56"/>
  <c r="CB125" i="56"/>
  <c r="BX125" i="56"/>
  <c r="BV125" i="56"/>
  <c r="BU125" i="56"/>
  <c r="BT125" i="56"/>
  <c r="CJ124" i="56"/>
  <c r="CB124" i="56"/>
  <c r="BX124" i="56"/>
  <c r="BV124" i="56"/>
  <c r="BU124" i="56"/>
  <c r="BT124" i="56"/>
  <c r="CK123" i="56"/>
  <c r="CJ123" i="56"/>
  <c r="CB123" i="56"/>
  <c r="BV123" i="56"/>
  <c r="BU123" i="56"/>
  <c r="BT123" i="56"/>
  <c r="CJ122" i="56"/>
  <c r="CB122" i="56"/>
  <c r="BX122" i="56"/>
  <c r="BV122" i="56"/>
  <c r="BU122" i="56"/>
  <c r="BT122" i="56"/>
  <c r="CJ121" i="56"/>
  <c r="CB121" i="56"/>
  <c r="BX121" i="56"/>
  <c r="BV121" i="56"/>
  <c r="BU121" i="56"/>
  <c r="BT121" i="56"/>
  <c r="CK120" i="56"/>
  <c r="CJ120" i="56"/>
  <c r="BW120" i="56"/>
  <c r="CJ119" i="56"/>
  <c r="CA119" i="56"/>
  <c r="BZ119" i="56"/>
  <c r="BY119" i="56"/>
  <c r="BV119" i="56"/>
  <c r="BU119" i="56"/>
  <c r="BT119" i="56"/>
  <c r="CJ118" i="56"/>
  <c r="CA118" i="56"/>
  <c r="BZ118" i="56"/>
  <c r="BY118" i="56"/>
  <c r="BV118" i="56"/>
  <c r="BU118" i="56"/>
  <c r="BT118" i="56"/>
  <c r="CJ117" i="56"/>
  <c r="CC117" i="56"/>
  <c r="CA117" i="56"/>
  <c r="BZ117" i="56"/>
  <c r="BY117" i="56"/>
  <c r="BX117" i="56"/>
  <c r="BV117" i="56"/>
  <c r="BU117" i="56"/>
  <c r="BT117" i="56"/>
  <c r="BS117" i="56"/>
  <c r="CK117" i="56" s="1"/>
  <c r="CJ116" i="56"/>
  <c r="CA116" i="56"/>
  <c r="BZ116" i="56"/>
  <c r="BY116" i="56"/>
  <c r="BX116" i="56"/>
  <c r="BV116" i="56"/>
  <c r="BU116" i="56"/>
  <c r="BT116" i="56"/>
  <c r="BS116" i="56"/>
  <c r="CK116" i="56" s="1"/>
  <c r="CJ115" i="56"/>
  <c r="CA115" i="56"/>
  <c r="BZ115" i="56"/>
  <c r="BY115" i="56"/>
  <c r="BX115" i="56"/>
  <c r="BV115" i="56"/>
  <c r="BU115" i="56"/>
  <c r="BT115" i="56"/>
  <c r="BS115" i="56"/>
  <c r="CK115" i="56" s="1"/>
  <c r="CJ114" i="56"/>
  <c r="BZ114" i="56"/>
  <c r="BY114" i="56"/>
  <c r="BX114" i="56"/>
  <c r="BV114" i="56"/>
  <c r="BU114" i="56"/>
  <c r="BT114" i="56"/>
  <c r="BS114" i="56"/>
  <c r="CK113" i="56"/>
  <c r="CJ113" i="56"/>
  <c r="CB113" i="56"/>
  <c r="BV113" i="56"/>
  <c r="BU113" i="56"/>
  <c r="BT113" i="56"/>
  <c r="CJ112" i="56"/>
  <c r="CB112" i="56"/>
  <c r="BV112" i="56"/>
  <c r="BT112" i="56"/>
  <c r="BS112" i="56"/>
  <c r="CK112" i="56" s="1"/>
  <c r="CK111" i="56"/>
  <c r="CJ111" i="56"/>
  <c r="CA111" i="56"/>
  <c r="CB111" i="56" s="1"/>
  <c r="BW111" i="56"/>
  <c r="CK110" i="56"/>
  <c r="CJ110" i="56"/>
  <c r="CB110" i="56"/>
  <c r="BV110" i="56"/>
  <c r="BU110" i="56"/>
  <c r="BT110" i="56"/>
  <c r="CK109" i="56"/>
  <c r="CJ109" i="56"/>
  <c r="CA109" i="56"/>
  <c r="CB109" i="56" s="1"/>
  <c r="BU109" i="56"/>
  <c r="BT109" i="56"/>
  <c r="CK108" i="56"/>
  <c r="CJ108" i="56"/>
  <c r="CB108" i="56"/>
  <c r="BV108" i="56"/>
  <c r="BU108" i="56"/>
  <c r="BT108" i="56"/>
  <c r="CJ107" i="56"/>
  <c r="CB107" i="56"/>
  <c r="BX107" i="56"/>
  <c r="BV107" i="56"/>
  <c r="BU107" i="56"/>
  <c r="BT107" i="56"/>
  <c r="BS107" i="56"/>
  <c r="CK107" i="56" s="1"/>
  <c r="CJ106" i="56"/>
  <c r="CB106" i="56"/>
  <c r="BX106" i="56"/>
  <c r="BV106" i="56"/>
  <c r="BU106" i="56"/>
  <c r="BT106" i="56"/>
  <c r="BS106" i="56"/>
  <c r="CK106" i="56" s="1"/>
  <c r="CK105" i="56"/>
  <c r="CJ105" i="56"/>
  <c r="CB105" i="56"/>
  <c r="BV105" i="56"/>
  <c r="BU105" i="56"/>
  <c r="BT105" i="56"/>
  <c r="CJ104" i="56"/>
  <c r="BY104" i="56"/>
  <c r="CB104" i="56" s="1"/>
  <c r="BX104" i="56"/>
  <c r="CK104" i="56" s="1"/>
  <c r="BV104" i="56"/>
  <c r="BU104" i="56"/>
  <c r="BT104" i="56"/>
  <c r="CK121" i="56" l="1"/>
  <c r="CB114" i="56"/>
  <c r="BW104" i="56"/>
  <c r="BW116" i="56"/>
  <c r="CB180" i="56"/>
  <c r="BW133" i="56"/>
  <c r="BW109" i="56"/>
  <c r="BW137" i="56"/>
  <c r="BW158" i="56"/>
  <c r="CB175" i="56"/>
  <c r="CB186" i="56"/>
  <c r="CB188" i="56"/>
  <c r="CB189" i="56"/>
  <c r="CB138" i="56"/>
  <c r="BW141" i="56"/>
  <c r="CK124" i="56"/>
  <c r="CB136" i="56"/>
  <c r="CB140" i="56"/>
  <c r="CB173" i="56"/>
  <c r="CB181" i="56"/>
  <c r="BW107" i="56"/>
  <c r="CB130" i="56"/>
  <c r="CB135" i="56"/>
  <c r="BW176" i="56"/>
  <c r="BW180" i="56"/>
  <c r="BW184" i="56"/>
  <c r="CB185" i="56"/>
  <c r="BW196" i="56"/>
  <c r="BW197" i="56"/>
  <c r="CK130" i="56"/>
  <c r="BW193" i="56"/>
  <c r="BW110" i="56"/>
  <c r="CB119" i="56"/>
  <c r="BW125" i="56"/>
  <c r="CK131" i="56"/>
  <c r="CB133" i="56"/>
  <c r="BW134" i="56"/>
  <c r="CB139" i="56"/>
  <c r="CB176" i="56"/>
  <c r="CB178" i="56"/>
  <c r="BW179" i="56"/>
  <c r="CB142" i="56"/>
  <c r="BW112" i="56"/>
  <c r="BW106" i="56"/>
  <c r="CB115" i="56"/>
  <c r="CB117" i="56"/>
  <c r="CB145" i="56"/>
  <c r="CB149" i="56"/>
  <c r="CB197" i="56"/>
  <c r="BW105" i="56"/>
  <c r="BW108" i="56"/>
  <c r="BW113" i="56"/>
  <c r="BW115" i="56"/>
  <c r="BW117" i="56"/>
  <c r="CB118" i="56"/>
  <c r="BW124" i="56"/>
  <c r="CK125" i="56"/>
  <c r="BW126" i="56"/>
  <c r="BW135" i="56"/>
  <c r="BW139" i="56"/>
  <c r="CB143" i="56"/>
  <c r="BW145" i="56"/>
  <c r="CB146" i="56"/>
  <c r="BW149" i="56"/>
  <c r="CB150" i="56"/>
  <c r="BW153" i="56"/>
  <c r="CB154" i="56"/>
  <c r="CB157" i="56"/>
  <c r="BW181" i="56"/>
  <c r="CB183" i="56"/>
  <c r="CB193" i="56"/>
  <c r="CB196" i="56"/>
  <c r="CK307" i="56"/>
  <c r="BW114" i="56"/>
  <c r="BW119" i="56"/>
  <c r="BW144" i="56"/>
  <c r="BW148" i="56"/>
  <c r="BW152" i="56"/>
  <c r="CB153" i="56"/>
  <c r="BW156" i="56"/>
  <c r="CB158" i="56"/>
  <c r="CB174" i="56"/>
  <c r="CB184" i="56"/>
  <c r="CK114" i="56"/>
  <c r="CB116" i="56"/>
  <c r="BW118" i="56"/>
  <c r="BW121" i="56"/>
  <c r="CK128" i="56"/>
  <c r="BW131" i="56"/>
  <c r="BW132" i="56"/>
  <c r="CK134" i="56"/>
  <c r="CB137" i="56"/>
  <c r="CB141" i="56"/>
  <c r="CK142" i="56"/>
  <c r="CB159" i="56"/>
  <c r="BW175" i="56"/>
  <c r="CB179" i="56"/>
  <c r="BW185" i="56"/>
  <c r="CB190" i="56"/>
  <c r="CB192" i="56"/>
  <c r="BW195" i="56"/>
  <c r="BW198" i="56"/>
  <c r="CK306" i="56"/>
  <c r="BW122" i="56"/>
  <c r="BW127" i="56"/>
  <c r="BW130" i="56"/>
  <c r="CB147" i="56"/>
  <c r="CB151" i="56"/>
  <c r="BW154" i="56"/>
  <c r="CK122" i="56"/>
  <c r="CK127" i="56"/>
  <c r="BW136" i="56"/>
  <c r="BW138" i="56"/>
  <c r="BW140" i="56"/>
  <c r="BW142" i="56"/>
  <c r="CB144" i="56"/>
  <c r="CK146" i="56"/>
  <c r="BW147" i="56"/>
  <c r="CB148" i="56"/>
  <c r="BW151" i="56"/>
  <c r="CB152" i="56"/>
  <c r="BW155" i="56"/>
  <c r="CB156" i="56"/>
  <c r="CB177" i="56"/>
  <c r="CB182" i="56"/>
  <c r="CB187" i="56"/>
  <c r="CB191" i="56"/>
  <c r="CB194" i="56"/>
  <c r="CB198" i="56"/>
  <c r="CC142" i="56"/>
  <c r="BW146" i="56"/>
  <c r="BW150" i="56"/>
  <c r="CB155" i="56"/>
  <c r="CB195" i="56"/>
  <c r="BW123" i="56"/>
  <c r="CK126" i="56"/>
  <c r="BW128" i="5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J. Clay</author>
  </authors>
  <commentList>
    <comment ref="G7" authorId="0" shapeId="0" xr:uid="{B4ED31DF-4610-4E8B-B5CC-32795FD21DF6}">
      <text>
        <r>
          <rPr>
            <b/>
            <sz val="9"/>
            <color indexed="81"/>
            <rFont val="Tahoma"/>
            <family val="2"/>
          </rPr>
          <t>Estimated number of vehicles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J. Clay</author>
    <author>Suffel, Chad A.</author>
  </authors>
  <commentList>
    <comment ref="G7" authorId="0" shapeId="0" xr:uid="{A10B7DB0-A5F2-4862-84D7-E8AD6023B49F}">
      <text>
        <r>
          <rPr>
            <b/>
            <sz val="9"/>
            <color indexed="81"/>
            <rFont val="Tahoma"/>
            <family val="2"/>
          </rPr>
          <t>Estimated number of vehicles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T205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U20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V205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X20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CK205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BT206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U206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V206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X206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CK206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<sst xmlns="http://schemas.openxmlformats.org/spreadsheetml/2006/main" count="8502" uniqueCount="3323">
  <si>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</si>
  <si>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</si>
  <si>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</si>
  <si>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</si>
  <si>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</si>
  <si>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</si>
  <si>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</si>
  <si>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</si>
  <si>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</si>
  <si>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</si>
  <si>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</si>
  <si>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</si>
  <si>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</si>
  <si>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</si>
  <si>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</si>
  <si>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</si>
  <si>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</si>
  <si>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</si>
  <si>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</si>
  <si>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</si>
  <si>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</si>
  <si>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</si>
  <si>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</si>
  <si>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</si>
  <si>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</si>
  <si>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</si>
  <si>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</si>
  <si>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</si>
  <si>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</si>
  <si>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</si>
  <si>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</si>
  <si>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</si>
  <si>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</si>
  <si>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</si>
  <si>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</si>
  <si>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</si>
  <si>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</si>
  <si>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</si>
  <si>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</si>
  <si>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</si>
  <si>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</si>
  <si>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</si>
  <si>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</si>
  <si>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</si>
  <si>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</si>
  <si>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</si>
  <si>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</si>
  <si>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Motorcraft</t>
  </si>
  <si>
    <t>Hengst</t>
  </si>
  <si>
    <t>Fram</t>
  </si>
  <si>
    <t>OE Ref Mfg #4</t>
  </si>
  <si>
    <t>I 2 of 5 Code</t>
  </si>
  <si>
    <t>OE Ref Mfg #5</t>
  </si>
  <si>
    <t>OE Ref Mfg #6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</si>
  <si>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</si>
  <si>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</si>
  <si>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</si>
  <si>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</si>
  <si>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</si>
  <si>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</si>
  <si>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</si>
  <si>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Price  Information</t>
  </si>
  <si>
    <t>STP</t>
  </si>
  <si>
    <t>Jobber Price Was</t>
  </si>
  <si>
    <t>Filter Dimensions</t>
  </si>
  <si>
    <t>OD</t>
  </si>
  <si>
    <t>ID</t>
  </si>
  <si>
    <t>Obsolete</t>
  </si>
  <si>
    <t>Date</t>
  </si>
  <si>
    <t>Brand</t>
  </si>
  <si>
    <t xml:space="preserve">Mobil </t>
  </si>
  <si>
    <t>LAF4712</t>
  </si>
  <si>
    <t>Air Filter</t>
  </si>
  <si>
    <t>Hydraulic Filter</t>
  </si>
  <si>
    <t>LAF6986</t>
  </si>
  <si>
    <t>Valvoline</t>
  </si>
  <si>
    <t>New Price</t>
  </si>
  <si>
    <t>LAF1713</t>
  </si>
  <si>
    <t>LAF1128</t>
  </si>
  <si>
    <t>LAF1737</t>
  </si>
  <si>
    <t>LMB50</t>
  </si>
  <si>
    <t>LFH8297</t>
  </si>
  <si>
    <t>A777</t>
  </si>
  <si>
    <t>LH2544</t>
  </si>
  <si>
    <t>Central America</t>
  </si>
  <si>
    <t>Oil Filter</t>
  </si>
  <si>
    <t>KNECHT/MAHLE</t>
  </si>
  <si>
    <t>LAK812</t>
  </si>
  <si>
    <t>AF9911</t>
  </si>
  <si>
    <t xml:space="preserve">PV </t>
  </si>
  <si>
    <t>Ford CMAX (2013-16), Fusion Hybrid (2013-16)
  Motorcraft FA1911</t>
  </si>
  <si>
    <t>Ford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</si>
  <si>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</si>
  <si>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</si>
  <si>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</si>
  <si>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</si>
  <si>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</si>
  <si>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</si>
  <si>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</si>
  <si>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</si>
  <si>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CAF1929P</t>
  </si>
  <si>
    <t>Air Filter, Cabin</t>
  </si>
  <si>
    <t xml:space="preserve">Jaguar XF Series (2009-16) </t>
  </si>
  <si>
    <t>Jaguar</t>
  </si>
  <si>
    <t>C2Z6525</t>
  </si>
  <si>
    <t>CAF1872P</t>
  </si>
  <si>
    <t>PV</t>
  </si>
  <si>
    <t>Buick Lacrosse (2010-16), Cadillac SRX (2010-16),  Chevrolet Cruze (2011-16  Dust and Odor</t>
  </si>
  <si>
    <t>GM</t>
  </si>
  <si>
    <t>AC Delco</t>
  </si>
  <si>
    <t>CF176</t>
  </si>
  <si>
    <t>CA10775</t>
  </si>
  <si>
    <t>C36154C</t>
  </si>
  <si>
    <t>CAF1872C</t>
  </si>
  <si>
    <t>C36154</t>
  </si>
  <si>
    <t>VCA1078C</t>
  </si>
  <si>
    <t>WCAF1872</t>
  </si>
  <si>
    <t>CAF1904C</t>
  </si>
  <si>
    <t>Cadillac XTS (2013)</t>
  </si>
  <si>
    <t>CF185</t>
  </si>
  <si>
    <t>PA10014</t>
  </si>
  <si>
    <t>WCAF1904</t>
  </si>
  <si>
    <t>WP10192</t>
  </si>
  <si>
    <t>CAF1913C</t>
  </si>
  <si>
    <t>BMW 328 Series (2013) Dust and Odor</t>
  </si>
  <si>
    <t>BMW</t>
  </si>
  <si>
    <t>90289C</t>
  </si>
  <si>
    <t>CUK25011</t>
  </si>
  <si>
    <t>P1018</t>
  </si>
  <si>
    <t xml:space="preserve">Mercedes V8 5.5L (2011-16)  </t>
  </si>
  <si>
    <t>Mercedes</t>
  </si>
  <si>
    <t>S11792</t>
  </si>
  <si>
    <t>WP1018</t>
  </si>
  <si>
    <t>038568744333</t>
  </si>
  <si>
    <t>10038568744330</t>
  </si>
  <si>
    <t>Yes</t>
  </si>
  <si>
    <t>Mexico</t>
  </si>
  <si>
    <t>8421.31.0000</t>
  </si>
  <si>
    <t>038568743275</t>
  </si>
  <si>
    <t>10038568743272</t>
  </si>
  <si>
    <t>China</t>
  </si>
  <si>
    <t>8421.39.8015</t>
  </si>
  <si>
    <t>038568744425</t>
  </si>
  <si>
    <t>10038568744422</t>
  </si>
  <si>
    <t>038568743794</t>
  </si>
  <si>
    <t>10038568743791</t>
  </si>
  <si>
    <t>038568743824</t>
  </si>
  <si>
    <t>10038568743821</t>
  </si>
  <si>
    <t>038568742940</t>
  </si>
  <si>
    <t>10038568742947</t>
  </si>
  <si>
    <t>Bulgaria</t>
  </si>
  <si>
    <t>8421.23.0000</t>
  </si>
  <si>
    <t>NEW PRODUCT INTRODUCTIONS</t>
  </si>
  <si>
    <t>Mobil 1</t>
  </si>
  <si>
    <t>LFP7075</t>
  </si>
  <si>
    <t>Case Int. JX1060C, JX1070C; New Holland Tractors  TD60D, TD70D, TD75D Tractors</t>
  </si>
  <si>
    <t>Case Int'l</t>
  </si>
  <si>
    <t>New Holland</t>
  </si>
  <si>
    <t>B7219</t>
  </si>
  <si>
    <t>P502549</t>
  </si>
  <si>
    <t>LF17483</t>
  </si>
  <si>
    <t>PH5964</t>
  </si>
  <si>
    <t>038568737915</t>
  </si>
  <si>
    <t>10038568737912</t>
  </si>
  <si>
    <t>No</t>
  </si>
  <si>
    <t>CHINA</t>
  </si>
  <si>
    <t>8421230000</t>
  </si>
  <si>
    <t>L4367F</t>
  </si>
  <si>
    <t>Nissan;  International Scout w/Diesel eng.</t>
  </si>
  <si>
    <t>Nissan</t>
  </si>
  <si>
    <t>16403-37700</t>
  </si>
  <si>
    <t>PF861</t>
  </si>
  <si>
    <t>P550673</t>
  </si>
  <si>
    <t>038568743848</t>
  </si>
  <si>
    <t>10038568743845</t>
  </si>
  <si>
    <t>L5085F</t>
  </si>
  <si>
    <t xml:space="preserve"> Mitsubishi FE &amp; FG Trucks</t>
  </si>
  <si>
    <t xml:space="preserve">Mitsubishi </t>
  </si>
  <si>
    <t>ME222135</t>
  </si>
  <si>
    <t>PF9803</t>
  </si>
  <si>
    <t>038568743862</t>
  </si>
  <si>
    <t>10038568743869</t>
  </si>
  <si>
    <t>L7583F</t>
  </si>
  <si>
    <t>Furukawa FL200A (w/Mitsubishi 6DB10C eng.)</t>
  </si>
  <si>
    <t>PF7583</t>
  </si>
  <si>
    <t>P550044</t>
  </si>
  <si>
    <t>FF5086</t>
  </si>
  <si>
    <t>038568743855</t>
  </si>
  <si>
    <t>10038568743852</t>
  </si>
  <si>
    <t>L8852F</t>
  </si>
  <si>
    <t xml:space="preserve">Opel Mavano w/2.2L &amp; 2.5L Diesel eng.; Nissan Interstat and  Primastar w/2.5L eng.; Nissan;  Opel Mavano, and Renault Master </t>
  </si>
  <si>
    <t>16405-00QAB</t>
  </si>
  <si>
    <t>Opel</t>
  </si>
  <si>
    <t>Renault Master</t>
  </si>
  <si>
    <t>BF9801</t>
  </si>
  <si>
    <t>038568743886</t>
  </si>
  <si>
    <t>10038568743883</t>
  </si>
  <si>
    <t>L9890F</t>
  </si>
  <si>
    <t>Mitsubishi FK,FM  and FN series trucks with 6M60 engine.</t>
  </si>
  <si>
    <t>ME300361</t>
  </si>
  <si>
    <t>PF9890</t>
  </si>
  <si>
    <t>P502226</t>
  </si>
  <si>
    <t>FF5363</t>
  </si>
  <si>
    <t>038568743879</t>
  </si>
  <si>
    <t>10038568743876</t>
  </si>
  <si>
    <t>LH22142</t>
  </si>
  <si>
    <t>Fairey Arlon; Atlas Weyhausen AR52E (w/Deutz BF4L1011T eng.) J.C.B. with Cummins &amp; Perkins Engines</t>
  </si>
  <si>
    <t>Fairey Arlon</t>
  </si>
  <si>
    <t>TXW3E-CC10</t>
  </si>
  <si>
    <t>PT9479-MPG</t>
  </si>
  <si>
    <t>P171825</t>
  </si>
  <si>
    <t>038568741479</t>
  </si>
  <si>
    <t>10038568741476</t>
  </si>
  <si>
    <t>1 Unit box = 1 Carton</t>
  </si>
  <si>
    <t>CANADA</t>
  </si>
  <si>
    <t>8421290065</t>
  </si>
  <si>
    <t>LH9227V</t>
  </si>
  <si>
    <t xml:space="preserve">MP Filtri </t>
  </si>
  <si>
    <t>MP Filtri</t>
  </si>
  <si>
    <t>MF1801AM60NB</t>
  </si>
  <si>
    <t>PT9227</t>
  </si>
  <si>
    <t>P172541</t>
  </si>
  <si>
    <t>R20C60TB</t>
  </si>
  <si>
    <t>038568741769</t>
  </si>
  <si>
    <t>10038568741766</t>
  </si>
  <si>
    <t>LH9556</t>
  </si>
  <si>
    <t>Caterpillar 314D CR,314D LCR,M325C  Excavators</t>
  </si>
  <si>
    <t>Caterpillar</t>
  </si>
  <si>
    <t>PT9556-MPG</t>
  </si>
  <si>
    <t>P571271</t>
  </si>
  <si>
    <t>HF35440</t>
  </si>
  <si>
    <t>038568741868</t>
  </si>
  <si>
    <t>10038568741865</t>
  </si>
  <si>
    <t>AF5223</t>
  </si>
  <si>
    <t xml:space="preserve">Air Filter </t>
  </si>
  <si>
    <t>Honda Accord V6 (2013-15)</t>
  </si>
  <si>
    <t>Honda</t>
  </si>
  <si>
    <t>17220-5G0-A00</t>
  </si>
  <si>
    <t>CA11477</t>
  </si>
  <si>
    <t>A26283</t>
  </si>
  <si>
    <t>SA11477</t>
  </si>
  <si>
    <t>AF6283</t>
  </si>
  <si>
    <t>WAF5223</t>
  </si>
  <si>
    <t>038568744180</t>
  </si>
  <si>
    <t>10038568744187</t>
  </si>
  <si>
    <t>CAF1899P</t>
  </si>
  <si>
    <t>Ford Fiesta (2011-15)</t>
  </si>
  <si>
    <t>8V51-18D543-AA</t>
  </si>
  <si>
    <t>038568743602</t>
  </si>
  <si>
    <t>10038568743609</t>
  </si>
  <si>
    <t>CAF1908P</t>
  </si>
  <si>
    <t>Ford Fusion (2013-14)</t>
  </si>
  <si>
    <t>FP71</t>
  </si>
  <si>
    <t>PA4475</t>
  </si>
  <si>
    <t>WP10084</t>
  </si>
  <si>
    <t>038568743596</t>
  </si>
  <si>
    <t>10038568743593</t>
  </si>
  <si>
    <t>USA</t>
  </si>
  <si>
    <t>CAF1914P</t>
  </si>
  <si>
    <t xml:space="preserve">Chevrolet Silverado (2014-15) </t>
  </si>
  <si>
    <t>PA4486</t>
  </si>
  <si>
    <t>WP10129</t>
  </si>
  <si>
    <t>038568743244</t>
  </si>
  <si>
    <t>10038568743241</t>
  </si>
  <si>
    <t>CAF1920P</t>
  </si>
  <si>
    <t>Jaguar XF Series (2009-15) (Jaguar )</t>
  </si>
  <si>
    <t>038568743350</t>
  </si>
  <si>
    <t>10038568743357</t>
  </si>
  <si>
    <t>CAF1893P</t>
  </si>
  <si>
    <t xml:space="preserve">Hyundai Elantra Touring Station Wagon (2010-12)  </t>
  </si>
  <si>
    <t>Hyundai</t>
  </si>
  <si>
    <t>08790-2L000-A</t>
  </si>
  <si>
    <t>CF11666</t>
  </si>
  <si>
    <t>CAF1893</t>
  </si>
  <si>
    <t>WCAF1893</t>
  </si>
  <si>
    <t>038568743251</t>
  </si>
  <si>
    <t>10038568743258</t>
  </si>
  <si>
    <t>CAF1930C</t>
  </si>
  <si>
    <t xml:space="preserve">Audi A8, A8L (2004-10), S8 (2007-09)  </t>
  </si>
  <si>
    <t>Volkswagen</t>
  </si>
  <si>
    <t>4E0-819-439A</t>
  </si>
  <si>
    <t>C36076C</t>
  </si>
  <si>
    <t>038568743374</t>
  </si>
  <si>
    <t>10038568743371</t>
  </si>
  <si>
    <t>CAF1880P</t>
  </si>
  <si>
    <t xml:space="preserve">Hyundai Azera (2010-11) </t>
  </si>
  <si>
    <t>08790-2G000A</t>
  </si>
  <si>
    <t>CF10896</t>
  </si>
  <si>
    <t>C36157</t>
  </si>
  <si>
    <t>WCAF1880</t>
  </si>
  <si>
    <t>038568743053</t>
  </si>
  <si>
    <t>10038568743838</t>
  </si>
  <si>
    <t>CAF1937P</t>
  </si>
  <si>
    <t>Mazda Millenia (2001-02)</t>
  </si>
  <si>
    <t>Mazda</t>
  </si>
  <si>
    <t>TA05-61-J6X</t>
  </si>
  <si>
    <t>PA4406 KIT</t>
  </si>
  <si>
    <t>C35550</t>
  </si>
  <si>
    <t>038568743190</t>
  </si>
  <si>
    <t>10038568743197</t>
  </si>
  <si>
    <t>AF3178</t>
  </si>
  <si>
    <t>Air Filter, Flex</t>
  </si>
  <si>
    <t xml:space="preserve">Cadillac ATS (2013-16) </t>
  </si>
  <si>
    <t>A3178C</t>
  </si>
  <si>
    <t>CA11494</t>
  </si>
  <si>
    <t>A58153</t>
  </si>
  <si>
    <t>AF8153</t>
  </si>
  <si>
    <t>WAF3178</t>
  </si>
  <si>
    <t>038568743749</t>
  </si>
  <si>
    <t>10038568743746</t>
  </si>
  <si>
    <t>P984</t>
  </si>
  <si>
    <t>Oil Filter, Cartridge</t>
  </si>
  <si>
    <t xml:space="preserve">Audi Q7 (2009-12), Volkswagen Touareg (2009-12)  </t>
  </si>
  <si>
    <t xml:space="preserve"> 057-115-561M</t>
  </si>
  <si>
    <t>LF17485</t>
  </si>
  <si>
    <t>038568742964</t>
  </si>
  <si>
    <t>10038568742961</t>
  </si>
  <si>
    <t>Austria</t>
  </si>
  <si>
    <t>P1013</t>
  </si>
  <si>
    <t xml:space="preserve">Mercedes GLK250 (2013) </t>
  </si>
  <si>
    <t>038568742933</t>
  </si>
  <si>
    <t>10038568742930</t>
  </si>
  <si>
    <t>Korea</t>
  </si>
  <si>
    <t>P1015</t>
  </si>
  <si>
    <t xml:space="preserve">Chevrolet Cruze Diesel (2014-15)  </t>
  </si>
  <si>
    <t>038568742780</t>
  </si>
  <si>
    <t>10038568742787</t>
  </si>
  <si>
    <t>P1019</t>
  </si>
  <si>
    <t xml:space="preserve">Audi A8 V8 4.0L (2013) </t>
  </si>
  <si>
    <t>079-198-405D</t>
  </si>
  <si>
    <t>038568742889</t>
  </si>
  <si>
    <t>10038568742886</t>
  </si>
  <si>
    <t>P1014</t>
  </si>
  <si>
    <t xml:space="preserve">Jeep Grand Cherokee Diesel (2014)  </t>
  </si>
  <si>
    <t>Chrysler</t>
  </si>
  <si>
    <t>68109834AA</t>
  </si>
  <si>
    <t>P7417</t>
  </si>
  <si>
    <t>CH11794</t>
  </si>
  <si>
    <t>L38157</t>
  </si>
  <si>
    <t>WP1014</t>
  </si>
  <si>
    <t>038568742926</t>
  </si>
  <si>
    <t>10038568742923</t>
  </si>
  <si>
    <t>P1027</t>
  </si>
  <si>
    <t xml:space="preserve">2015 Hyundia Genesis V8 5.0L </t>
  </si>
  <si>
    <t>26320-3F500</t>
  </si>
  <si>
    <t>WP1027</t>
  </si>
  <si>
    <t>WL10067</t>
  </si>
  <si>
    <t>10038568743050</t>
  </si>
  <si>
    <t>LFP9279</t>
  </si>
  <si>
    <t>Oil Filter, Spin-On</t>
  </si>
  <si>
    <t>John Deere 6068 PowerTech  PVX Tier 4 engine</t>
  </si>
  <si>
    <t>John Deere</t>
  </si>
  <si>
    <t>RE539279</t>
  </si>
  <si>
    <t>P551910</t>
  </si>
  <si>
    <t>038568738462</t>
  </si>
  <si>
    <t>10038568738469</t>
  </si>
  <si>
    <t>1 Unit Box = 1 Carton</t>
  </si>
  <si>
    <t>AF5220</t>
  </si>
  <si>
    <t>Air Filter, Rigid</t>
  </si>
  <si>
    <t>2013 Nissan Altima 2.5L</t>
  </si>
  <si>
    <t>16546-3TA0A</t>
  </si>
  <si>
    <t>CA11450</t>
  </si>
  <si>
    <t>AF1559</t>
  </si>
  <si>
    <t>AF46297</t>
  </si>
  <si>
    <t>P992</t>
  </si>
  <si>
    <t>2011-12 MERCEDES CL550 V8 4.7L</t>
  </si>
  <si>
    <t>Mercedes Benz</t>
  </si>
  <si>
    <t>France</t>
  </si>
  <si>
    <t>038568742377</t>
  </si>
  <si>
    <t>10038568742374</t>
  </si>
  <si>
    <t>AF5224</t>
  </si>
  <si>
    <t>2013 Hyundia Santa Fe Sport</t>
  </si>
  <si>
    <t>28113-2W100</t>
  </si>
  <si>
    <t>CA11500</t>
  </si>
  <si>
    <t>038568743572</t>
  </si>
  <si>
    <t>10038568743579</t>
  </si>
  <si>
    <t>CAF1896P</t>
  </si>
  <si>
    <t xml:space="preserve">Fiat 500 (2012-15) </t>
  </si>
  <si>
    <t>Fiat</t>
  </si>
  <si>
    <t>68096453AA</t>
  </si>
  <si>
    <t>C26185</t>
  </si>
  <si>
    <t>WCAF1896</t>
  </si>
  <si>
    <t>038568743565</t>
  </si>
  <si>
    <t>10038568743562</t>
  </si>
  <si>
    <t>CAF1900P</t>
  </si>
  <si>
    <t>2012 Ford Focus</t>
  </si>
  <si>
    <t>1FADP3FE0FL215358</t>
  </si>
  <si>
    <t>CF11920</t>
  </si>
  <si>
    <t>FP-70</t>
  </si>
  <si>
    <t>C36174</t>
  </si>
  <si>
    <t>038568743589</t>
  </si>
  <si>
    <t>10038568743586</t>
  </si>
  <si>
    <t>CAF1901C</t>
  </si>
  <si>
    <t>2011-12 Infiniti M37, 2015 Infiniti Q70</t>
  </si>
  <si>
    <t>Infiniti</t>
  </si>
  <si>
    <t>27277-1ME0B</t>
  </si>
  <si>
    <t>038568743183</t>
  </si>
  <si>
    <t>10038568743180</t>
  </si>
  <si>
    <t>CAF1910P</t>
  </si>
  <si>
    <t>2013 Scion IQ</t>
  </si>
  <si>
    <t>Toyota</t>
  </si>
  <si>
    <t>88568-74010</t>
  </si>
  <si>
    <t>WP10073</t>
  </si>
  <si>
    <t>038568743299</t>
  </si>
  <si>
    <t>10038568743296</t>
  </si>
  <si>
    <t>CAF1912C</t>
  </si>
  <si>
    <t>2011-14 Audi A8; 2012-14 Audi A6, A7 TWO PER APPLICATION</t>
  </si>
  <si>
    <t>VW / Audi</t>
  </si>
  <si>
    <t>4H0-819-439</t>
  </si>
  <si>
    <t>038568743442</t>
  </si>
  <si>
    <t>10038568743449</t>
  </si>
  <si>
    <t>CAF1932P</t>
  </si>
  <si>
    <t>2010-12 Suzuki Kizashi</t>
  </si>
  <si>
    <t>Suzuki</t>
  </si>
  <si>
    <t xml:space="preserve"> 95861-57L00</t>
  </si>
  <si>
    <t>038568743176</t>
  </si>
  <si>
    <t>10038568743173</t>
  </si>
  <si>
    <t>CAF1936P</t>
  </si>
  <si>
    <t>2002-05 Land Rover Freelander</t>
  </si>
  <si>
    <t>Land Rover</t>
  </si>
  <si>
    <t>LR JKR100280</t>
  </si>
  <si>
    <t>038568743336</t>
  </si>
  <si>
    <t>10038568743333</t>
  </si>
  <si>
    <t>P1024</t>
  </si>
  <si>
    <t>2007-12 Mercedes SLK55</t>
  </si>
  <si>
    <t>HU715/6x</t>
  </si>
  <si>
    <t>038568743060</t>
  </si>
  <si>
    <t>10038568743067</t>
  </si>
  <si>
    <t>038568743497</t>
  </si>
  <si>
    <t>10038568743494</t>
  </si>
  <si>
    <t>LFF6013</t>
  </si>
  <si>
    <t>Chevrolet Express Van, GMC Savana Van  V8 6.6L Diesel (2009-13)</t>
  </si>
  <si>
    <t>BF9918 KIT</t>
  </si>
  <si>
    <t>K10489A</t>
  </si>
  <si>
    <t>F75888</t>
  </si>
  <si>
    <t>TP1537</t>
  </si>
  <si>
    <t>038568743619</t>
  </si>
  <si>
    <t>10038568743616</t>
  </si>
  <si>
    <t>AF5193</t>
  </si>
  <si>
    <t>AIR FILTER</t>
  </si>
  <si>
    <t>Infiniti QX56 (2011-13) (Nissan 16546-1LA04)</t>
  </si>
  <si>
    <t xml:space="preserve"> 16546-1LA04</t>
  </si>
  <si>
    <t>CA11002</t>
  </si>
  <si>
    <t>33-2456</t>
  </si>
  <si>
    <t>SA11002</t>
  </si>
  <si>
    <t>WAF5193</t>
  </si>
  <si>
    <t xml:space="preserve">038568742452 </t>
  </si>
  <si>
    <t>LMB1002</t>
  </si>
  <si>
    <t xml:space="preserve">Base for F/W Separator-1/2-NPT </t>
  </si>
  <si>
    <t>Base for F/W Separator-1/2-NPT (Mounting base for LFP944F, LFF8010 and  LFP815FN)</t>
  </si>
  <si>
    <t>FB1301</t>
  </si>
  <si>
    <t>3833199S</t>
  </si>
  <si>
    <t>WL10008</t>
  </si>
  <si>
    <t>038568739810</t>
  </si>
  <si>
    <t>CAF1911P</t>
  </si>
  <si>
    <t>CABIN AIR FILTER</t>
  </si>
  <si>
    <t xml:space="preserve">Jeep Wrangler (2012-15) </t>
  </si>
  <si>
    <t>55111302AA</t>
  </si>
  <si>
    <t>PA4460 KIT</t>
  </si>
  <si>
    <t>038568743237</t>
  </si>
  <si>
    <t>CAF1927C</t>
  </si>
  <si>
    <t>BMW M3 (2008-11)</t>
  </si>
  <si>
    <t>038568743459</t>
  </si>
  <si>
    <t>CAF1860C</t>
  </si>
  <si>
    <t>Mercedes-Benz GL Series, R Series, ML Series  (2006-13)  Dust and Odor</t>
  </si>
  <si>
    <t>Mercedes-Benz</t>
  </si>
  <si>
    <t>038568743541</t>
  </si>
  <si>
    <t>CAF1934P</t>
  </si>
  <si>
    <t>Honda S2000 (2000-09)</t>
  </si>
  <si>
    <t>79831-S2A-003</t>
  </si>
  <si>
    <t xml:space="preserve">038568743206 </t>
  </si>
  <si>
    <t xml:space="preserve">Scion iQ (2012-16)  </t>
  </si>
  <si>
    <t>Scion</t>
  </si>
  <si>
    <t>CAF1898P</t>
  </si>
  <si>
    <t xml:space="preserve">Chrysler 300 (2011-14), Dodge Charger,  Challenger (2011-14) </t>
  </si>
  <si>
    <t xml:space="preserve"> 68071668AA</t>
  </si>
  <si>
    <t>CF11668</t>
  </si>
  <si>
    <t>C26176</t>
  </si>
  <si>
    <t>WCAF1898</t>
  </si>
  <si>
    <t xml:space="preserve">038568743558 </t>
  </si>
  <si>
    <t>CAF7737</t>
  </si>
  <si>
    <t>Saab 95 Series (1999-09)</t>
  </si>
  <si>
    <t>Saab</t>
  </si>
  <si>
    <t>CAF1737</t>
  </si>
  <si>
    <t>C28165</t>
  </si>
  <si>
    <t>038568743411</t>
  </si>
  <si>
    <t>L6267F</t>
  </si>
  <si>
    <t>FUEL FILTER</t>
  </si>
  <si>
    <t>Caterpillar late model backhoes, Caterpillar 3619555;236B3, 242B3, 252B3,  and 257B3 skid steer loader</t>
  </si>
  <si>
    <t xml:space="preserve">Caterpillar </t>
  </si>
  <si>
    <t>BF9847-D</t>
  </si>
  <si>
    <t>P551432</t>
  </si>
  <si>
    <t>FS20050</t>
  </si>
  <si>
    <t>WF10053</t>
  </si>
  <si>
    <t>038568740427</t>
  </si>
  <si>
    <t>LFP7174</t>
  </si>
  <si>
    <t>OIL FILTER</t>
  </si>
  <si>
    <t>Iveco Euro Tech Truck with Cursor engine</t>
  </si>
  <si>
    <t>Iveco</t>
  </si>
  <si>
    <t xml:space="preserve">038568738158 </t>
  </si>
  <si>
    <t>PH2873</t>
  </si>
  <si>
    <t>PH11462</t>
  </si>
  <si>
    <t>OF6291</t>
  </si>
  <si>
    <t>WPH2873</t>
  </si>
  <si>
    <t>P2062</t>
  </si>
  <si>
    <t>2015 Ford F150 with 2.7L Ecoboost engine</t>
  </si>
  <si>
    <t>FT4Z-6731-A</t>
  </si>
  <si>
    <t>CH11955</t>
  </si>
  <si>
    <t>L38154</t>
  </si>
  <si>
    <t>S11955</t>
  </si>
  <si>
    <t>CF8154</t>
  </si>
  <si>
    <t>WP2062</t>
  </si>
  <si>
    <t>038568743015</t>
  </si>
  <si>
    <t>2007-11 Mercedes SLK w/5.5L V8</t>
  </si>
  <si>
    <t>113 184 0225</t>
  </si>
  <si>
    <t>0001802809</t>
  </si>
  <si>
    <t>CH11051</t>
  </si>
  <si>
    <t>L35906</t>
  </si>
  <si>
    <t>LP4083</t>
  </si>
  <si>
    <t xml:space="preserve">International </t>
  </si>
  <si>
    <t>International</t>
  </si>
  <si>
    <t>1842825C91</t>
  </si>
  <si>
    <t>BC7394</t>
  </si>
  <si>
    <t>CS41013</t>
  </si>
  <si>
    <t>P10012</t>
  </si>
  <si>
    <t>038568741578</t>
  </si>
  <si>
    <t>AF3926</t>
  </si>
  <si>
    <t xml:space="preserve"> BMW M3 V8 4.0L (2010-13) </t>
  </si>
  <si>
    <t>CA11004</t>
  </si>
  <si>
    <t>A55893</t>
  </si>
  <si>
    <t xml:space="preserve">038568742445 </t>
  </si>
  <si>
    <t>Germany</t>
  </si>
  <si>
    <t>P1008</t>
  </si>
  <si>
    <t>Volkswagen Tourage Diesel (2013-14)</t>
  </si>
  <si>
    <t>059-115-561D</t>
  </si>
  <si>
    <t xml:space="preserve">038568743008 </t>
  </si>
  <si>
    <t>P1034</t>
  </si>
  <si>
    <t xml:space="preserve">Mercedes CLK63 AMG, CLS63 AMG, SL63 (2007-13) </t>
  </si>
  <si>
    <t xml:space="preserve"> 038568743022 </t>
  </si>
  <si>
    <t>AF5212</t>
  </si>
  <si>
    <t xml:space="preserve">2008-14 Lexus GS Series </t>
  </si>
  <si>
    <t>Lexus</t>
  </si>
  <si>
    <t>17801-31170</t>
  </si>
  <si>
    <t>CA10996</t>
  </si>
  <si>
    <t>AF1567</t>
  </si>
  <si>
    <t>33-2452</t>
  </si>
  <si>
    <t>A36103</t>
  </si>
  <si>
    <t>038568742469</t>
  </si>
  <si>
    <t>AF3615</t>
  </si>
  <si>
    <t xml:space="preserve">Land Rover Evoque (2012-15) </t>
  </si>
  <si>
    <t>LR029078</t>
  </si>
  <si>
    <t>CA11485</t>
  </si>
  <si>
    <t>C29006</t>
  </si>
  <si>
    <t>SA11485</t>
  </si>
  <si>
    <t>WA10007</t>
  </si>
  <si>
    <t>038568742520</t>
  </si>
  <si>
    <t xml:space="preserve">Nissan Altima 2.5L (2013-14) </t>
  </si>
  <si>
    <t>4627127AB</t>
  </si>
  <si>
    <t>CA11451</t>
  </si>
  <si>
    <t>AF1560</t>
  </si>
  <si>
    <t>33-2479</t>
  </si>
  <si>
    <t>A46298</t>
  </si>
  <si>
    <t>SA11451</t>
  </si>
  <si>
    <t>WAF5220</t>
  </si>
  <si>
    <t xml:space="preserve">038568742377 </t>
  </si>
  <si>
    <t>AF3609</t>
  </si>
  <si>
    <t xml:space="preserve">Land Rover LR4, Range Rover  (2010-2012) </t>
  </si>
  <si>
    <t>LR011593</t>
  </si>
  <si>
    <t>CA11062</t>
  </si>
  <si>
    <t>AF1570</t>
  </si>
  <si>
    <t>C35126</t>
  </si>
  <si>
    <t xml:space="preserve"> 038568742421</t>
  </si>
  <si>
    <t>AF7904</t>
  </si>
  <si>
    <t>Mercedes C63,CLK63 AMG, CLS63 AMG (2007-12)</t>
  </si>
  <si>
    <t>CA11063</t>
  </si>
  <si>
    <t>AF1467</t>
  </si>
  <si>
    <t>33-2405</t>
  </si>
  <si>
    <t>C3361-2</t>
  </si>
  <si>
    <t>A25806</t>
  </si>
  <si>
    <t>038568742506</t>
  </si>
  <si>
    <t>AF3184</t>
  </si>
  <si>
    <t xml:space="preserve">PV  </t>
  </si>
  <si>
    <t>AIR</t>
  </si>
  <si>
    <t>2013-14 Buick Encore</t>
  </si>
  <si>
    <t>CA11501</t>
  </si>
  <si>
    <t>038568742407</t>
  </si>
  <si>
    <t>AF5213</t>
  </si>
  <si>
    <t xml:space="preserve">2013-14 Hyundai Genesis Coupe </t>
  </si>
  <si>
    <t>28113-2M200</t>
  </si>
  <si>
    <t>CA11420</t>
  </si>
  <si>
    <t>038568742339</t>
  </si>
  <si>
    <t>LK372V</t>
  </si>
  <si>
    <t>MAINT. KIT</t>
  </si>
  <si>
    <t xml:space="preserve">Maintenance Kit  for Detroit Diesel DD11, DD13 &amp; DD16 engines. Kit to include: qty.(2) LFP3191 + (1) LFP8642 + (1) LFF8059 + (1) LFF3358. </t>
  </si>
  <si>
    <t>038568742902</t>
  </si>
  <si>
    <t>USA and China</t>
  </si>
  <si>
    <t>AF9912</t>
  </si>
  <si>
    <t xml:space="preserve">2013-14 Ford Fusion </t>
  </si>
  <si>
    <t>DS7Z-9601-A</t>
  </si>
  <si>
    <t>FA1912</t>
  </si>
  <si>
    <t>CA11480</t>
  </si>
  <si>
    <t>AF1557</t>
  </si>
  <si>
    <t>A36272</t>
  </si>
  <si>
    <t>WA10048</t>
  </si>
  <si>
    <t>038568316035</t>
  </si>
  <si>
    <t>LFF6753</t>
  </si>
  <si>
    <t>FUEL</t>
  </si>
  <si>
    <t>John Deere Applications; Volvo EC290B, EC160B Excavators</t>
  </si>
  <si>
    <t>RE522684</t>
  </si>
  <si>
    <t>RE522688</t>
  </si>
  <si>
    <t>BF7853</t>
  </si>
  <si>
    <t>P550659</t>
  </si>
  <si>
    <t>FS19700</t>
  </si>
  <si>
    <t>PS10967</t>
  </si>
  <si>
    <t xml:space="preserve">038568738264 </t>
  </si>
  <si>
    <t>AF3105</t>
  </si>
  <si>
    <t>Cadillac CTS (2009-12)</t>
  </si>
  <si>
    <t>CA11054</t>
  </si>
  <si>
    <t>038568742391</t>
  </si>
  <si>
    <t>AF3221</t>
  </si>
  <si>
    <t>BMW X5 Diesel (2009-13)</t>
  </si>
  <si>
    <t>CA11013</t>
  </si>
  <si>
    <t>AF1552</t>
  </si>
  <si>
    <t>A25899</t>
  </si>
  <si>
    <t>49342</t>
  </si>
  <si>
    <t xml:space="preserve"> 038568742414</t>
  </si>
  <si>
    <t>AF5215</t>
  </si>
  <si>
    <t>Kia Sportage 2.0L turbo (2011-14)</t>
  </si>
  <si>
    <t>Kia</t>
  </si>
  <si>
    <t>281133W500</t>
  </si>
  <si>
    <t>CA11421</t>
  </si>
  <si>
    <t>A28152</t>
  </si>
  <si>
    <t>49047</t>
  </si>
  <si>
    <t>038568316059</t>
  </si>
  <si>
    <t>AF5698</t>
  </si>
  <si>
    <t>Mercedes C250 (2012-14)</t>
  </si>
  <si>
    <t>CA11453</t>
  </si>
  <si>
    <t>038568742483</t>
  </si>
  <si>
    <t>AF7922</t>
  </si>
  <si>
    <t xml:space="preserve">BMW 135i, 335i, 335i XDrive, X5 (2011-15) </t>
  </si>
  <si>
    <t>038568742513</t>
  </si>
  <si>
    <t>LH11014V</t>
  </si>
  <si>
    <t>HYDRAULIC</t>
  </si>
  <si>
    <t xml:space="preserve">Parker </t>
  </si>
  <si>
    <t>Parker</t>
  </si>
  <si>
    <t>938323Q</t>
  </si>
  <si>
    <t>P171702</t>
  </si>
  <si>
    <t>D75A10GAV</t>
  </si>
  <si>
    <t>038568741783 </t>
  </si>
  <si>
    <t>10038568741780</t>
  </si>
  <si>
    <t>Canada</t>
  </si>
  <si>
    <t>LH9240V</t>
  </si>
  <si>
    <t>MF0301P10NB</t>
  </si>
  <si>
    <t>PT9240</t>
  </si>
  <si>
    <t>R16C10CB</t>
  </si>
  <si>
    <t>038568741813</t>
  </si>
  <si>
    <t>10038568741810</t>
  </si>
  <si>
    <t>LH11008V</t>
  </si>
  <si>
    <t>J.C.B 801.4, 801.5, 801.6  MP Filtri   Excavators</t>
  </si>
  <si>
    <t>MF1002A10NB</t>
  </si>
  <si>
    <t>JCB</t>
  </si>
  <si>
    <t>PT8989-MPG</t>
  </si>
  <si>
    <t>P171531</t>
  </si>
  <si>
    <t>HF35203</t>
  </si>
  <si>
    <t>R18C10GB</t>
  </si>
  <si>
    <t>038568741875</t>
  </si>
  <si>
    <t>10038568741872</t>
  </si>
  <si>
    <t>LH11041V</t>
  </si>
  <si>
    <t>Internormen</t>
  </si>
  <si>
    <t xml:space="preserve"> 01NL25010VG30EV</t>
  </si>
  <si>
    <t>D59E10GAV</t>
  </si>
  <si>
    <t>LP5730</t>
  </si>
  <si>
    <t xml:space="preserve">OIL </t>
  </si>
  <si>
    <t>Mitsubishi QC000001; 2012-on Mitsubishi Fuso  Canter 3.0L 4P10 eng.</t>
  </si>
  <si>
    <t>Mitsubishi</t>
  </si>
  <si>
    <t>QC000001</t>
  </si>
  <si>
    <t>038568741554</t>
  </si>
  <si>
    <t>PH820M</t>
  </si>
  <si>
    <t xml:space="preserve">Ford Products (1991-15), Mazda (2000-09),  Chrysler, Dodge V6 &amp; V8 (2008-14)  </t>
  </si>
  <si>
    <t>4884899AB</t>
  </si>
  <si>
    <t>F1AZ-6731-BD</t>
  </si>
  <si>
    <t>B329</t>
  </si>
  <si>
    <t>P550965</t>
  </si>
  <si>
    <t>LF3681</t>
  </si>
  <si>
    <t>PH2</t>
  </si>
  <si>
    <t>038568742179</t>
  </si>
  <si>
    <t>PH400M</t>
  </si>
  <si>
    <t xml:space="preserve">Chrysler Products (2002-09), Ford Products  (1971-09), Jaguar X Type (2000-08), Mazda 6  (2009-13), CX9 (2007-14)  </t>
  </si>
  <si>
    <t>E1EE-6714-AA</t>
  </si>
  <si>
    <t>FL-400A</t>
  </si>
  <si>
    <t>B243</t>
  </si>
  <si>
    <t>P550724</t>
  </si>
  <si>
    <t>LF3555</t>
  </si>
  <si>
    <t>PH3600</t>
  </si>
  <si>
    <t>038568742230</t>
  </si>
  <si>
    <t>Models with metal end caps</t>
  </si>
  <si>
    <t>LAF1482</t>
  </si>
  <si>
    <t>Generac Generator Sets w/GT990 eng</t>
  </si>
  <si>
    <t>Generac</t>
  </si>
  <si>
    <t>OC8127</t>
  </si>
  <si>
    <t>AF27969</t>
  </si>
  <si>
    <t>038568740403</t>
  </si>
  <si>
    <t>India</t>
  </si>
  <si>
    <t>CAF24024</t>
  </si>
  <si>
    <t>CABIN AIR</t>
  </si>
  <si>
    <t>Paccar Applications: 2010- Peterbilt 386 388 365 TRUCKS</t>
  </si>
  <si>
    <t>Paccar</t>
  </si>
  <si>
    <t>5S013817</t>
  </si>
  <si>
    <t>PA5765</t>
  </si>
  <si>
    <t>038568741547</t>
  </si>
  <si>
    <t>AF5209</t>
  </si>
  <si>
    <t xml:space="preserve">Chevrolet Sonic (2012-2014) </t>
  </si>
  <si>
    <t>CA11222</t>
  </si>
  <si>
    <t>33-2476</t>
  </si>
  <si>
    <t>A26273</t>
  </si>
  <si>
    <t>SA11222</t>
  </si>
  <si>
    <t>AF6273</t>
  </si>
  <si>
    <t>WAF5209</t>
  </si>
  <si>
    <t>038568742346</t>
  </si>
  <si>
    <t>LH2512</t>
  </si>
  <si>
    <t xml:space="preserve">HYDRAULIC </t>
  </si>
  <si>
    <t>Volvo Applications: Fits Volvo I Shift trans used on Volvo and Mack trucks</t>
  </si>
  <si>
    <t>Volvo</t>
  </si>
  <si>
    <t>AT2512C</t>
  </si>
  <si>
    <t>PT9417</t>
  </si>
  <si>
    <t>P550633</t>
  </si>
  <si>
    <t>HF35361</t>
  </si>
  <si>
    <t>E28HD174</t>
  </si>
  <si>
    <t>038568737991</t>
  </si>
  <si>
    <t>LAF5327</t>
  </si>
  <si>
    <t>Komatsu WA400-5, WA400-5L,  WA400-5WH Loaders</t>
  </si>
  <si>
    <t>Komatsu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</si>
  <si>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</si>
  <si>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</si>
  <si>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</si>
  <si>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</si>
  <si>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</si>
  <si>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</si>
  <si>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</si>
  <si>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 Kit; Contains: 1-LP5090, 1-L5091F,  1- LW4076XL</t>
  </si>
  <si>
    <t>Detroit Diesel</t>
  </si>
  <si>
    <t>038568739964</t>
  </si>
  <si>
    <t>Germany &amp; Japan</t>
  </si>
  <si>
    <t>AF5219</t>
  </si>
  <si>
    <t>2013-14 Dodge Dart</t>
  </si>
  <si>
    <t>PA4473</t>
  </si>
  <si>
    <t>CA11431</t>
  </si>
  <si>
    <t>AF1566</t>
  </si>
  <si>
    <t>A26281</t>
  </si>
  <si>
    <t>WA10008</t>
  </si>
  <si>
    <t>038568742353</t>
  </si>
  <si>
    <t>AF6910</t>
  </si>
  <si>
    <t xml:space="preserve">2013-2014 Ford Escape 2.5 L </t>
  </si>
  <si>
    <t>CJ5Z-9601-A</t>
  </si>
  <si>
    <t>FA-1910</t>
  </si>
  <si>
    <t>PA4470</t>
  </si>
  <si>
    <t>CA11456</t>
  </si>
  <si>
    <t>AF1556</t>
  </si>
  <si>
    <t>A26199</t>
  </si>
  <si>
    <t>038568742360</t>
  </si>
  <si>
    <t>LFF6961</t>
  </si>
  <si>
    <t>John Deere Applications: John Deere 8000 series tractors and 9760,9660 combines"</t>
  </si>
  <si>
    <t>RE522372</t>
  </si>
  <si>
    <t>RE509596</t>
  </si>
  <si>
    <t>BF1353-SPS</t>
  </si>
  <si>
    <t>FS19688</t>
  </si>
  <si>
    <t>33692</t>
  </si>
  <si>
    <t>038568740298</t>
  </si>
  <si>
    <t>LAF5453</t>
  </si>
  <si>
    <t>John Deere Application: John Deere 6120, 6215, 6415 Tractors.</t>
  </si>
  <si>
    <t>AL119839</t>
  </si>
  <si>
    <t>CA4702</t>
  </si>
  <si>
    <t>P606119</t>
  </si>
  <si>
    <t>AF26157</t>
  </si>
  <si>
    <t>CA11029</t>
  </si>
  <si>
    <t>46937</t>
  </si>
  <si>
    <t>038568736529</t>
  </si>
  <si>
    <t>LAF3233FR</t>
  </si>
  <si>
    <t>2012- Freightliner 114SD  truck  FLAME RETARDANT VERSION OF LAF3233</t>
  </si>
  <si>
    <t>Freightliner M2 Series</t>
  </si>
  <si>
    <t>CA5420</t>
  </si>
  <si>
    <t>P607960</t>
  </si>
  <si>
    <t>038568738448</t>
  </si>
  <si>
    <t>LAF5298</t>
  </si>
  <si>
    <t xml:space="preserve">JOHN DEERE Applications: John Deere 7220 7320 7420 7530 tractors.  </t>
  </si>
  <si>
    <t>AL172781</t>
  </si>
  <si>
    <t>CA4703</t>
  </si>
  <si>
    <t>P606120</t>
  </si>
  <si>
    <t>AF26156</t>
  </si>
  <si>
    <t>42794</t>
  </si>
  <si>
    <t>038568738417</t>
  </si>
  <si>
    <t>LAF5416</t>
  </si>
  <si>
    <t xml:space="preserve">John Deere Applications: John Deere 318D 319D 320D and 5045/5055 tractors. </t>
  </si>
  <si>
    <t>RE282286</t>
  </si>
  <si>
    <t>PA5634</t>
  </si>
  <si>
    <t>P609221</t>
  </si>
  <si>
    <t>49221</t>
  </si>
  <si>
    <t>038568738554</t>
  </si>
  <si>
    <t>LAF2753</t>
  </si>
  <si>
    <t>Ford F650 &amp; 750 Trucks  2004 -</t>
  </si>
  <si>
    <t>4C4Z-9601-AA</t>
  </si>
  <si>
    <t>FA1753</t>
  </si>
  <si>
    <t>CA5366</t>
  </si>
  <si>
    <t>P609086</t>
  </si>
  <si>
    <t>AF26493</t>
  </si>
  <si>
    <t>CA10868</t>
  </si>
  <si>
    <t>42813</t>
  </si>
  <si>
    <t xml:space="preserve">038568738561 </t>
  </si>
  <si>
    <t>9,75</t>
  </si>
  <si>
    <t>LAF9334</t>
  </si>
  <si>
    <t>John Deere Applications: John Deere 7720,7820,7920,7630,7730,7830,7930 tractors"</t>
  </si>
  <si>
    <t>RE196945</t>
  </si>
  <si>
    <t>CA5417</t>
  </si>
  <si>
    <t>P619334</t>
  </si>
  <si>
    <t>49945</t>
  </si>
  <si>
    <t>038568739797</t>
  </si>
  <si>
    <t>LAF8791</t>
  </si>
  <si>
    <t>Hitachi &amp; Komatsu Equipment</t>
  </si>
  <si>
    <t>Hitachi</t>
  </si>
  <si>
    <t>4234793</t>
  </si>
  <si>
    <t>17M9113530</t>
  </si>
  <si>
    <t>PA5328</t>
  </si>
  <si>
    <t>AF25573</t>
  </si>
  <si>
    <t>PA11380</t>
  </si>
  <si>
    <t>038568742131</t>
  </si>
  <si>
    <t>LFP3830</t>
  </si>
  <si>
    <t xml:space="preserve">Mercruiser 4 and 6 cyl outboard marine engines; 2006 and newer Verado 135-200 4 stroke engine. </t>
  </si>
  <si>
    <t>Mercruiser</t>
  </si>
  <si>
    <t>35-877767K01</t>
  </si>
  <si>
    <t>35-877767Q01</t>
  </si>
  <si>
    <t xml:space="preserve">038568738226 </t>
  </si>
  <si>
    <t>Filter is individually poly bagged</t>
  </si>
  <si>
    <t>LFH8484</t>
  </si>
  <si>
    <t>Hydraulic Filter Element</t>
  </si>
  <si>
    <t>Kalmar; Terex, New Holland LM5040,  LM5060, LM5080 Telehandlers</t>
  </si>
  <si>
    <t>Dana</t>
  </si>
  <si>
    <t>4209440</t>
  </si>
  <si>
    <t>Kalmar</t>
  </si>
  <si>
    <t>Terex</t>
  </si>
  <si>
    <t>PPMTFC45H</t>
  </si>
  <si>
    <t>BT9400-MPG</t>
  </si>
  <si>
    <t>P765075</t>
  </si>
  <si>
    <t>HF35464</t>
  </si>
  <si>
    <t>57227</t>
  </si>
  <si>
    <t>038568737984</t>
  </si>
  <si>
    <t>LFF9897</t>
  </si>
  <si>
    <t xml:space="preserve"> Liebherr excavators and John Deere 950J and 1050J dozers</t>
  </si>
  <si>
    <t>Liebherr</t>
  </si>
  <si>
    <t>10044303</t>
  </si>
  <si>
    <t>Racor</t>
  </si>
  <si>
    <t>R90DSRAC01</t>
  </si>
  <si>
    <t>Yanmar</t>
  </si>
  <si>
    <t>FS19897</t>
  </si>
  <si>
    <t>P11057</t>
  </si>
  <si>
    <t>WK1150</t>
  </si>
  <si>
    <t>038568738509</t>
  </si>
  <si>
    <t>LAF5756</t>
  </si>
  <si>
    <t>Komatsu Equipment</t>
  </si>
  <si>
    <t>77Z9700010</t>
  </si>
  <si>
    <t>PA4987</t>
  </si>
  <si>
    <t>P500204</t>
  </si>
  <si>
    <t>WP10057</t>
  </si>
  <si>
    <t>038568737618</t>
  </si>
  <si>
    <t>LAF3699</t>
  </si>
  <si>
    <t>Volvo L60E, L70E, L90E, L110E,  L120E Wheel Loaders (Cab air)</t>
  </si>
  <si>
    <t>11703980</t>
  </si>
  <si>
    <t>PA4991</t>
  </si>
  <si>
    <t>P500195</t>
  </si>
  <si>
    <t>AF26384</t>
  </si>
  <si>
    <t>038568737854</t>
  </si>
  <si>
    <t>LFF9954</t>
  </si>
  <si>
    <t>Thermo-King, Tier 4 SB130 &amp; SB230 Refrigeration Units</t>
  </si>
  <si>
    <t>Thermo-King</t>
  </si>
  <si>
    <t>11-9954</t>
  </si>
  <si>
    <t>038568740373</t>
  </si>
  <si>
    <t>10038568740370</t>
  </si>
  <si>
    <t>Not packaged into individual unit boxes</t>
  </si>
  <si>
    <t>Radial Seal Air Filter</t>
  </si>
  <si>
    <t>Carrier 1800, 2100, 2500 Regrigeration Units</t>
  </si>
  <si>
    <t>Carrier</t>
  </si>
  <si>
    <t>30-00471-20</t>
  </si>
  <si>
    <t>P604457</t>
  </si>
  <si>
    <t>038568740397</t>
  </si>
  <si>
    <t>10038568740394</t>
  </si>
  <si>
    <t>LAF6205</t>
  </si>
  <si>
    <t>Caterpillar C1.1 eng.</t>
  </si>
  <si>
    <t>246-5011</t>
  </si>
  <si>
    <t>038568737939</t>
  </si>
  <si>
    <t>10038568737936</t>
  </si>
  <si>
    <t>L6268F</t>
  </si>
  <si>
    <t>Caterpillar 414E and 416E backhoes</t>
  </si>
  <si>
    <t>038568740441</t>
  </si>
  <si>
    <t>10038568740448</t>
  </si>
  <si>
    <t>LFF6776</t>
  </si>
  <si>
    <t>Cummins ISX 11.9, 15L and 16L engines</t>
  </si>
  <si>
    <t>Cummins</t>
  </si>
  <si>
    <t>BF9885</t>
  </si>
  <si>
    <t>P555776</t>
  </si>
  <si>
    <t>FF5776</t>
  </si>
  <si>
    <t>038568738073</t>
  </si>
  <si>
    <t>10038568738070</t>
  </si>
  <si>
    <t>L5104F</t>
  </si>
  <si>
    <t>Mercedes 2013-14 DD13 engines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</si>
  <si>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</si>
  <si>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</si>
  <si>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</si>
  <si>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</si>
  <si>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</si>
  <si>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</si>
  <si>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</si>
  <si>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 xml:space="preserve">John Deere 7220, 7320, 7420 7520 Tractors </t>
  </si>
  <si>
    <t>AL119096</t>
  </si>
  <si>
    <t>AL119095</t>
  </si>
  <si>
    <t>PA3928</t>
  </si>
  <si>
    <t>P789129</t>
  </si>
  <si>
    <t>AF26672</t>
  </si>
  <si>
    <t>038568738400</t>
  </si>
  <si>
    <t>N/A</t>
  </si>
  <si>
    <t>0.3 cubic ft</t>
  </si>
  <si>
    <t>2.33lbs</t>
  </si>
  <si>
    <t>428lbs</t>
  </si>
  <si>
    <t>Great Britain</t>
  </si>
  <si>
    <t>LH9167</t>
  </si>
  <si>
    <t xml:space="preserve">MP Filtri  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</si>
  <si>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</si>
  <si>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</si>
  <si>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</si>
  <si>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</si>
  <si>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</si>
  <si>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</si>
  <si>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</si>
  <si>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</si>
  <si>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</si>
  <si>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>LAF4179</t>
  </si>
  <si>
    <t xml:space="preserve">Mitsubishi FE, FG Series  Mitsubishi ME017233; Mitsubishi FE140 Trucks  Trucks  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</si>
  <si>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</si>
  <si>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</si>
  <si>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</si>
  <si>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</si>
  <si>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</si>
  <si>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</si>
  <si>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</si>
  <si>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</si>
  <si>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</si>
  <si>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</si>
  <si>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 xml:space="preserve">Komatsu Dozers,Excavators, and Dump trucks.  Scania R  Series trucks.  </t>
  </si>
  <si>
    <t>RS4638</t>
  </si>
  <si>
    <t>P608885</t>
  </si>
  <si>
    <t>AF25627</t>
  </si>
  <si>
    <t>CA9966</t>
  </si>
  <si>
    <t>49770</t>
  </si>
  <si>
    <t>LAF5749</t>
  </si>
  <si>
    <t>Round Air Filter</t>
  </si>
  <si>
    <t>Kubota ZD326 and ZD331 mowers. Inner used with LAF5771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</si>
  <si>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</si>
  <si>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</si>
  <si>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</si>
  <si>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</si>
  <si>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</si>
  <si>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</si>
  <si>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</si>
  <si>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</si>
  <si>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</si>
  <si>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John Deere 9660STS Combine  (For Sec. air use LAF8879) (Radial Seal)</t>
  </si>
  <si>
    <t>AH212294</t>
  </si>
  <si>
    <t>RS5470</t>
  </si>
  <si>
    <t>P618930</t>
  </si>
  <si>
    <t>49294</t>
  </si>
  <si>
    <t>038568738370</t>
  </si>
  <si>
    <t>10038568738377</t>
  </si>
  <si>
    <t>LH7528</t>
  </si>
  <si>
    <t>International Cart. P/S on  International 3000 School Bus (2006-)</t>
  </si>
  <si>
    <t>1695528C1</t>
  </si>
  <si>
    <t>PT9419-MPG</t>
  </si>
  <si>
    <t>57528</t>
  </si>
  <si>
    <t>038568737977</t>
  </si>
  <si>
    <t>10038568737974</t>
  </si>
  <si>
    <t>LH4385-25</t>
  </si>
  <si>
    <t>HYDRAULIC FILTER</t>
  </si>
  <si>
    <t>Schroeder Applications; Bomag &amp; Schroeder Eqpt-Hydraulic cartridge.</t>
  </si>
  <si>
    <t>Behringher Fluid Systems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</si>
  <si>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</si>
  <si>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</si>
  <si>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</si>
  <si>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</si>
  <si>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</si>
  <si>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</si>
  <si>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</si>
  <si>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</si>
  <si>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</si>
  <si>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Caterpillar TK371, TK381  Logging Equipment  (High eff. version of LFH8417)</t>
  </si>
  <si>
    <t>207-5035</t>
  </si>
  <si>
    <t>BT9560-MPG</t>
  </si>
  <si>
    <t>P573673</t>
  </si>
  <si>
    <t>038568737960</t>
  </si>
  <si>
    <t>10038568737967</t>
  </si>
  <si>
    <t>LFF9737</t>
  </si>
  <si>
    <t>Volvo contstuction equipment</t>
  </si>
  <si>
    <t>BF1363</t>
  </si>
  <si>
    <t>038568738356</t>
  </si>
  <si>
    <t>10038568738353</t>
  </si>
  <si>
    <t>LFF9772</t>
  </si>
  <si>
    <t>Case International Applications: Maxxum and Puma series tractors</t>
  </si>
  <si>
    <t>Case International</t>
  </si>
  <si>
    <t>BF1371</t>
  </si>
  <si>
    <t>FS19772</t>
  </si>
  <si>
    <t>038568737274</t>
  </si>
  <si>
    <t>10038568737271</t>
  </si>
  <si>
    <t>LFP6930</t>
  </si>
  <si>
    <t>John Deere 9330, 9430, 9530, 9630 Tractors  with PowerTech 13.5L engine (2007-)</t>
  </si>
  <si>
    <t>RE530107</t>
  </si>
  <si>
    <t>BD7353</t>
  </si>
  <si>
    <t>LF9032</t>
  </si>
  <si>
    <t>57307</t>
  </si>
  <si>
    <t>038568738424</t>
  </si>
  <si>
    <t>10038568738421</t>
  </si>
  <si>
    <t>LFF5686</t>
  </si>
  <si>
    <t>Cummins ISX engine (2010-)</t>
  </si>
  <si>
    <t>BF9860</t>
  </si>
  <si>
    <t>P555686</t>
  </si>
  <si>
    <t>FF5686</t>
  </si>
  <si>
    <t>WF10008</t>
  </si>
  <si>
    <t>038568737557</t>
  </si>
  <si>
    <t>10038568737554</t>
  </si>
  <si>
    <t>LFF3368</t>
  </si>
  <si>
    <t>MTU X00042421;  MTU 8V2000M92/M93,  41V5111M92,M93 (2004-), 10V2000M72 (2005-)  20V4000 engines with common rail injection systems</t>
  </si>
  <si>
    <t>MTU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</si>
  <si>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</si>
  <si>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</si>
  <si>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</si>
  <si>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</si>
  <si>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</si>
  <si>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</si>
  <si>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</si>
  <si>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</si>
  <si>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International Prostar+ with Maxforce 11/13 engine (30 micron filter)</t>
  </si>
  <si>
    <t>2611236C1</t>
  </si>
  <si>
    <t>FS20040</t>
  </si>
  <si>
    <t>WF10006</t>
  </si>
  <si>
    <t>038568738066</t>
  </si>
  <si>
    <t>10038568738063</t>
  </si>
  <si>
    <t>LAF4162</t>
  </si>
  <si>
    <t xml:space="preserve">Murphy Diesel; Caterpillar; Onan Generators. </t>
  </si>
  <si>
    <t>3I0011</t>
  </si>
  <si>
    <t>PA4619</t>
  </si>
  <si>
    <t>C055003</t>
  </si>
  <si>
    <t>AH19000</t>
  </si>
  <si>
    <t>CA9247</t>
  </si>
  <si>
    <t>038568739612</t>
  </si>
  <si>
    <t>10038568739619</t>
  </si>
  <si>
    <t>LAF6101</t>
  </si>
  <si>
    <t>GMC C6500-C8500 Trucks  w/Caterpillar C7 eng. (2007-09)</t>
  </si>
  <si>
    <t>A3101C</t>
  </si>
  <si>
    <t>RS5767</t>
  </si>
  <si>
    <t>038568735812</t>
  </si>
  <si>
    <t>10038568735819</t>
  </si>
  <si>
    <t>LAF9104</t>
  </si>
  <si>
    <t xml:space="preserve">International Durastar  Trucks (2012)  </t>
  </si>
  <si>
    <t>2602212C1</t>
  </si>
  <si>
    <t>P616050</t>
  </si>
  <si>
    <t>038568740328</t>
  </si>
  <si>
    <t>10038568740325</t>
  </si>
  <si>
    <t>LAF9498</t>
  </si>
  <si>
    <t xml:space="preserve">Western Star 4700 Series </t>
  </si>
  <si>
    <t>P619498</t>
  </si>
  <si>
    <t>038568740311</t>
  </si>
  <si>
    <t>10038568740318</t>
  </si>
  <si>
    <t xml:space="preserve">Buna N O-Ring </t>
  </si>
  <si>
    <t>O-ring used in LP7485 By-Pass Oil Filter</t>
  </si>
  <si>
    <t>038568739889</t>
  </si>
  <si>
    <t>10038568739886</t>
  </si>
  <si>
    <t>individual units are packed into a poly bag</t>
  </si>
  <si>
    <t>T951</t>
  </si>
  <si>
    <t xml:space="preserve"> FUEL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</si>
  <si>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</si>
  <si>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038568739971</t>
  </si>
  <si>
    <t>10038568739978</t>
  </si>
  <si>
    <t>LK367C</t>
  </si>
  <si>
    <t xml:space="preserve"> MAINTENANCE KIT</t>
  </si>
  <si>
    <t xml:space="preserve">Consists of: 1-LFP3970, 1-LFF5632, 1-LFP1065, 1-LFP1652 </t>
  </si>
  <si>
    <t>038568740250</t>
  </si>
  <si>
    <t>10038568740257</t>
  </si>
  <si>
    <t>L5094F</t>
  </si>
  <si>
    <t>Peterbilt Trucks with ISX engine</t>
  </si>
  <si>
    <t>K37-1004</t>
  </si>
  <si>
    <t>038568740304</t>
  </si>
  <si>
    <t>10038568740301</t>
  </si>
  <si>
    <t>L9550FXL</t>
  </si>
  <si>
    <t xml:space="preserve">Davco </t>
  </si>
  <si>
    <t>Davco</t>
  </si>
  <si>
    <t>FS19550</t>
  </si>
  <si>
    <t>038568737885</t>
  </si>
  <si>
    <t>10038568737882</t>
  </si>
  <si>
    <t>L9730F</t>
  </si>
  <si>
    <t xml:space="preserve"> 7 micron element for Davco 232  units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</si>
  <si>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</si>
  <si>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</si>
  <si>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</si>
  <si>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</si>
  <si>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</si>
  <si>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</si>
  <si>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</si>
  <si>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</si>
  <si>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Kensworth W900, W900L Trucks</t>
  </si>
  <si>
    <t>P614556</t>
  </si>
  <si>
    <t>038568740342 </t>
  </si>
  <si>
    <t>10038568740349</t>
  </si>
  <si>
    <t>LAF6725</t>
  </si>
  <si>
    <t>Kenworth T680 Truck  Peterbilt 579 Trucks</t>
  </si>
  <si>
    <t>P621725</t>
  </si>
  <si>
    <t>Kenworth T800 and Peterbilt 388 trucks</t>
  </si>
  <si>
    <t>P614986</t>
  </si>
  <si>
    <t>038568740335 </t>
  </si>
  <si>
    <t>10038568740332</t>
  </si>
  <si>
    <t>LH9401</t>
  </si>
  <si>
    <t>HYDRAULIC FILTER *</t>
  </si>
  <si>
    <t>Parker 932630Q,Pall HC2256FKS10Z  Glass media and viton gasket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</si>
  <si>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</si>
  <si>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</si>
  <si>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</si>
  <si>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</si>
  <si>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</si>
  <si>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</si>
  <si>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</si>
  <si>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</si>
  <si>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</si>
  <si>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 xml:space="preserve">Consists of: 1-LFP3191, 1-LFF4783, 1-LFP1652 </t>
  </si>
  <si>
    <t>038568740281</t>
  </si>
  <si>
    <t>10038568740288</t>
  </si>
  <si>
    <t>LP2017GASK</t>
  </si>
  <si>
    <t>GASKET</t>
  </si>
  <si>
    <t>Viton O-ring for LP2017 Filter</t>
  </si>
  <si>
    <t>038568739933</t>
  </si>
  <si>
    <t>10038568739930</t>
  </si>
  <si>
    <t>Individual pieces packed into a poly bag</t>
  </si>
  <si>
    <t>LP7498XL</t>
  </si>
  <si>
    <t>Synthetic media version of LP7498. Replaces LP7498</t>
  </si>
  <si>
    <t>3007498C93</t>
  </si>
  <si>
    <t>HU12002z</t>
  </si>
  <si>
    <t>038568740229</t>
  </si>
  <si>
    <t>10038568740226</t>
  </si>
  <si>
    <t>Czech Republic</t>
  </si>
  <si>
    <t>LK366C</t>
  </si>
  <si>
    <t xml:space="preserve">Consists of: 1-LFF9732, 1-LFF5421, 1-LFP6015, 1-LFP1652 </t>
  </si>
  <si>
    <t>038568740267</t>
  </si>
  <si>
    <t>10038568740264</t>
  </si>
  <si>
    <t>LK369C</t>
  </si>
  <si>
    <t>Consists of: 1-L1261F, 1-LFP3970, 1-LFP1652</t>
  </si>
  <si>
    <t>038568740243</t>
  </si>
  <si>
    <t>10038568740240</t>
  </si>
  <si>
    <t>LK370C</t>
  </si>
  <si>
    <t>Consists of: 1-LFF9616, 1-LFP780XL, 1-LFP1652</t>
  </si>
  <si>
    <t>038568740274</t>
  </si>
  <si>
    <t>10038568740271</t>
  </si>
  <si>
    <t>LFH7221</t>
  </si>
  <si>
    <t>HYDRAULIC  FILTER</t>
  </si>
  <si>
    <t>John Deere 6120 Tractor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</si>
  <si>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</si>
  <si>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</si>
  <si>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</si>
  <si>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</si>
  <si>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</si>
  <si>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</si>
  <si>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</si>
  <si>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International 4300 Durastar Truck (2011) with Maxxforce 7 eng.</t>
  </si>
  <si>
    <t>1899332C91</t>
  </si>
  <si>
    <t>1893553C2</t>
  </si>
  <si>
    <t>038568738028</t>
  </si>
  <si>
    <t>10038568738025</t>
  </si>
  <si>
    <t>AF5184</t>
  </si>
  <si>
    <t xml:space="preserve"> AIR FILTER</t>
  </si>
  <si>
    <t xml:space="preserve">Suzuki Kizashi (2010-11) 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</si>
  <si>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</si>
  <si>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</si>
  <si>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</si>
  <si>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</si>
  <si>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</si>
  <si>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</si>
  <si>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</si>
  <si>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</si>
  <si>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</si>
  <si>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Chevrolet Camaro (2010-14)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</si>
  <si>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</si>
  <si>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</si>
  <si>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</si>
  <si>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</si>
  <si>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</si>
  <si>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</si>
  <si>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</si>
  <si>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</si>
  <si>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</si>
  <si>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</si>
  <si>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</si>
  <si>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</si>
  <si>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</si>
  <si>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</si>
  <si>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</si>
  <si>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</si>
  <si>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</si>
  <si>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</si>
  <si>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</si>
  <si>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</si>
  <si>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 xml:space="preserve">Honda Passport (1996-97), Isuzu Rodeo (1996-97) </t>
  </si>
  <si>
    <t>Isuzu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</si>
  <si>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</si>
  <si>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</si>
  <si>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</si>
  <si>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</si>
  <si>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</si>
  <si>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</si>
  <si>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</si>
  <si>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</si>
  <si>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 xml:space="preserve">Fiat 500 Non Turbo (2012-14) 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</si>
  <si>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</si>
  <si>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</si>
  <si>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</si>
  <si>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</si>
  <si>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</si>
  <si>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</si>
  <si>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</si>
  <si>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</si>
  <si>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</si>
  <si>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</si>
  <si>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Arlon; John Deere 350D, 400D Dump Trucks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</si>
  <si>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</si>
  <si>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</si>
  <si>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</si>
  <si>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</si>
  <si>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</si>
  <si>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</si>
  <si>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</si>
  <si>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</si>
  <si>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</si>
  <si>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2012-14 Audi Q3, Volkswagen Passat Diesel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</si>
  <si>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</si>
  <si>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</si>
  <si>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</si>
  <si>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</si>
  <si>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</si>
  <si>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</si>
  <si>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</si>
  <si>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</si>
  <si>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</si>
  <si>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</si>
  <si>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</si>
  <si>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</si>
  <si>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</si>
  <si>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2011-14 BMW 5 Series, 7 Series, M5, M6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</si>
  <si>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</si>
  <si>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</si>
  <si>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</si>
  <si>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</si>
  <si>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</si>
  <si>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</si>
  <si>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</si>
  <si>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</si>
  <si>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</si>
  <si>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</si>
  <si>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</si>
  <si>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2010-12 Chevrolet Camaro</t>
  </si>
  <si>
    <t>AC DELCO</t>
  </si>
  <si>
    <t>AFC1504</t>
  </si>
  <si>
    <t>038568739537</t>
  </si>
  <si>
    <t>10038568739534 </t>
  </si>
  <si>
    <t>CAF1876P</t>
  </si>
  <si>
    <t>2010-11 Kia Soul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</si>
  <si>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</si>
  <si>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</si>
  <si>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</si>
  <si>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</si>
  <si>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</si>
  <si>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</si>
  <si>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</si>
  <si>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2007-11 Mazda CX7</t>
  </si>
  <si>
    <t>EG21-61-P11</t>
  </si>
  <si>
    <t>CF11671</t>
  </si>
  <si>
    <t>C25858</t>
  </si>
  <si>
    <t>WCAF1864</t>
  </si>
  <si>
    <t>038568739988</t>
  </si>
  <si>
    <t>10038568739985</t>
  </si>
  <si>
    <t>CAF1884P</t>
  </si>
  <si>
    <t>2006-2009 Hyundai Tuscon with Halla HVAC system</t>
  </si>
  <si>
    <t>97133-2E250</t>
  </si>
  <si>
    <t>CF11184</t>
  </si>
  <si>
    <t>C26073</t>
  </si>
  <si>
    <t>WCAF1884</t>
  </si>
  <si>
    <t>038568739995</t>
  </si>
  <si>
    <t>10038568739992</t>
  </si>
  <si>
    <t>CAF1897C</t>
  </si>
  <si>
    <t>2012 Chevrolet Traverse Standard media panel</t>
  </si>
  <si>
    <t>CF179C</t>
  </si>
  <si>
    <t>CF11663</t>
  </si>
  <si>
    <t>C26205C</t>
  </si>
  <si>
    <t>C26205</t>
  </si>
  <si>
    <t>WCAF1897</t>
  </si>
  <si>
    <t>WP10074</t>
  </si>
  <si>
    <t>038568739551</t>
  </si>
  <si>
    <t>10038568739558</t>
  </si>
  <si>
    <t xml:space="preserve">2013-14 Chevy Spark w/ L4-1.2L F/inj. engine. </t>
  </si>
  <si>
    <t>L16291</t>
  </si>
  <si>
    <t>038568739957</t>
  </si>
  <si>
    <t>10038568739954</t>
  </si>
  <si>
    <t>CAF1882P</t>
  </si>
  <si>
    <t>Luberfiner Air Filter</t>
  </si>
  <si>
    <t xml:space="preserve">Mitsubishi Outlander /Lancer (2002-07)  </t>
  </si>
  <si>
    <t>MN185231</t>
  </si>
  <si>
    <t>MR398288</t>
  </si>
  <si>
    <t>CF10746</t>
  </si>
  <si>
    <t>AFC1472</t>
  </si>
  <si>
    <t>E1998LC</t>
  </si>
  <si>
    <t>CUK2231</t>
  </si>
  <si>
    <t>C36125C</t>
  </si>
  <si>
    <t>C36125</t>
  </si>
  <si>
    <t>WCAF1882</t>
  </si>
  <si>
    <t>038568739544</t>
  </si>
  <si>
    <t>10038568739541</t>
  </si>
  <si>
    <t>L7662FK</t>
  </si>
  <si>
    <t>Luberfiner Fuel Filter</t>
  </si>
  <si>
    <t xml:space="preserve">International TerraStar, 4300 Trucks with MaxxForce 7 (6.4L) Engine </t>
  </si>
  <si>
    <t>1884207C91</t>
  </si>
  <si>
    <t>1884207C92</t>
  </si>
  <si>
    <t>1889977C91</t>
  </si>
  <si>
    <t>1889978C91</t>
  </si>
  <si>
    <t>R33286</t>
  </si>
  <si>
    <t>PF9914 KIT</t>
  </si>
  <si>
    <t>038568738592</t>
  </si>
  <si>
    <t>10038568738599</t>
  </si>
  <si>
    <t>L5092F</t>
  </si>
  <si>
    <t>Freightliner M2 Series, MT45 Chassis, Thomas C2, HDX Bus w/Mercedes-Benz MBE900 Eng.</t>
  </si>
  <si>
    <t>A0000902751</t>
  </si>
  <si>
    <t>K11101</t>
  </si>
  <si>
    <t>038568738196</t>
  </si>
  <si>
    <t>10038568738193 </t>
  </si>
  <si>
    <t>AF5205</t>
  </si>
  <si>
    <t>Chrysler 200 (2011-14), Dodge Avenger, Journey  (2011-14)</t>
  </si>
  <si>
    <t>68081249AC</t>
  </si>
  <si>
    <t>CA11170</t>
  </si>
  <si>
    <t>33-2470</t>
  </si>
  <si>
    <t>A36151</t>
  </si>
  <si>
    <t>SA11170</t>
  </si>
  <si>
    <t>AF6151</t>
  </si>
  <si>
    <t>WAF5205</t>
  </si>
  <si>
    <t>038568739780</t>
  </si>
  <si>
    <t>10038568739787</t>
  </si>
  <si>
    <t>P988</t>
  </si>
  <si>
    <t>Luberfiner Oil Filter</t>
  </si>
  <si>
    <t xml:space="preserve">Porsche Boxster (2010-14), Cayman (2009-14)  </t>
  </si>
  <si>
    <t>Porsche</t>
  </si>
  <si>
    <t>9A110702400</t>
  </si>
  <si>
    <t>CH11008</t>
  </si>
  <si>
    <t>S11008</t>
  </si>
  <si>
    <t>WP988</t>
  </si>
  <si>
    <t>038568739858</t>
  </si>
  <si>
    <t>10038568739855</t>
  </si>
  <si>
    <t>CAF1875P</t>
  </si>
  <si>
    <t>LUBERFINER CABIN AIR PASSCAR</t>
  </si>
  <si>
    <t xml:space="preserve">2009-2011 Nissan Cube Particulate Filter  </t>
  </si>
  <si>
    <t>B7891-1FC0A</t>
  </si>
  <si>
    <t>038568739506</t>
  </si>
  <si>
    <t>10038568739503</t>
  </si>
  <si>
    <t>AF5189</t>
  </si>
  <si>
    <t>2009-11 Infiniti M35/M37</t>
  </si>
  <si>
    <t>16546-EJ70A</t>
  </si>
  <si>
    <t>CA10999</t>
  </si>
  <si>
    <t>AF1562</t>
  </si>
  <si>
    <t>33-2440</t>
  </si>
  <si>
    <t>A26139</t>
  </si>
  <si>
    <t>AF6139</t>
  </si>
  <si>
    <t>WAF5189</t>
  </si>
  <si>
    <t>49570</t>
  </si>
  <si>
    <t>038568739742</t>
  </si>
  <si>
    <t>10038568739749</t>
  </si>
  <si>
    <t>AF5204</t>
  </si>
  <si>
    <t>Scion iQ 2012-2014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</si>
  <si>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</si>
  <si>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</si>
  <si>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</si>
  <si>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</si>
  <si>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</si>
  <si>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</si>
  <si>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</si>
  <si>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</si>
  <si>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</si>
  <si>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</si>
  <si>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</si>
  <si>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</si>
  <si>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</si>
  <si>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</si>
  <si>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</si>
  <si>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</si>
  <si>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</si>
  <si>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</si>
  <si>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</si>
  <si>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</si>
  <si>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</si>
  <si>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</si>
  <si>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</si>
  <si>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</si>
  <si>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</si>
  <si>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</si>
  <si>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</si>
  <si>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</si>
  <si>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</si>
  <si>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</si>
  <si>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</si>
  <si>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</si>
  <si>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</si>
  <si>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</si>
  <si>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</si>
  <si>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</si>
  <si>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</si>
  <si>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</si>
  <si>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</si>
  <si>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</si>
  <si>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</si>
  <si>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</si>
  <si>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</si>
  <si>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</si>
  <si>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</si>
  <si>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</si>
  <si>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</si>
  <si>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</si>
  <si>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</si>
  <si>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</si>
  <si>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</si>
  <si>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</si>
  <si>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</si>
  <si>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</si>
  <si>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</si>
  <si>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</si>
  <si>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</si>
  <si>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</si>
  <si>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</si>
  <si>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</si>
  <si>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</si>
  <si>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</si>
  <si>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</si>
  <si>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</si>
  <si>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</si>
  <si>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</si>
  <si>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</si>
  <si>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</si>
  <si>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</si>
  <si>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</si>
  <si>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</si>
  <si>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</si>
  <si>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</si>
  <si>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</si>
  <si>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</si>
  <si>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</si>
  <si>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</si>
  <si>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</si>
  <si>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</si>
  <si>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</si>
  <si>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</si>
  <si>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</si>
  <si>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</si>
  <si>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</si>
  <si>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</si>
  <si>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</si>
  <si>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</si>
  <si>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</si>
  <si>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</si>
  <si>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</si>
  <si>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</si>
  <si>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</si>
  <si>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</si>
  <si>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</si>
  <si>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</si>
  <si>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</si>
  <si>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</si>
  <si>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</si>
  <si>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</si>
  <si>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</si>
  <si>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</si>
  <si>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</si>
  <si>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</si>
  <si>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</si>
  <si>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</si>
  <si>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</si>
  <si>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</si>
  <si>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</si>
  <si>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</si>
  <si>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</si>
  <si>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</si>
  <si>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</si>
  <si>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</si>
  <si>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</si>
  <si>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</si>
  <si>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</si>
  <si>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</si>
  <si>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</si>
  <si>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</si>
  <si>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</si>
  <si>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</si>
  <si>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</si>
  <si>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</si>
  <si>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</si>
  <si>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</si>
  <si>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</si>
  <si>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</si>
  <si>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</si>
  <si>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</si>
  <si>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</si>
  <si>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</si>
  <si>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</si>
  <si>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</si>
  <si>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</si>
  <si>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</si>
  <si>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</si>
  <si>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</si>
  <si>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</si>
  <si>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</si>
  <si>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</si>
  <si>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</si>
  <si>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</si>
  <si>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</si>
  <si>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</si>
  <si>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</si>
  <si>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</si>
  <si>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</si>
  <si>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</si>
  <si>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</si>
  <si>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</si>
  <si>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</si>
  <si>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</si>
  <si>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</si>
  <si>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</si>
  <si>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</si>
  <si>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</si>
  <si>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</si>
  <si>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</si>
  <si>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</si>
  <si>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</si>
  <si>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</si>
  <si>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</si>
  <si>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</si>
  <si>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</si>
  <si>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</si>
  <si>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</si>
  <si>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</si>
  <si>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</si>
  <si>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</si>
  <si>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</si>
  <si>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</si>
  <si>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</si>
  <si>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</si>
  <si>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</si>
  <si>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</si>
  <si>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</si>
  <si>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</si>
  <si>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</si>
  <si>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</si>
  <si>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</si>
  <si>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</si>
  <si>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</si>
  <si>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</si>
  <si>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</si>
  <si>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</si>
  <si>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</si>
  <si>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</si>
  <si>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</si>
  <si>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</si>
  <si>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</si>
  <si>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</si>
  <si>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</si>
  <si>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</si>
  <si>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</si>
  <si>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</si>
  <si>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</si>
  <si>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</si>
  <si>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</si>
  <si>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</si>
  <si>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</si>
  <si>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</si>
  <si>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</si>
  <si>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</si>
  <si>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</si>
  <si>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</si>
  <si>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</si>
  <si>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</si>
  <si>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</si>
  <si>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</si>
  <si>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</si>
  <si>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</si>
  <si>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</si>
  <si>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</si>
  <si>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</si>
  <si>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</si>
  <si>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</si>
  <si>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</si>
  <si>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</si>
  <si>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</si>
  <si>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</si>
  <si>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</si>
  <si>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</si>
  <si>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</si>
  <si>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</si>
  <si>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</si>
  <si>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</si>
  <si>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</si>
  <si>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</si>
  <si>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</si>
  <si>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</si>
  <si>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</si>
  <si>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</si>
  <si>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</si>
  <si>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</si>
  <si>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</si>
  <si>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</si>
  <si>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</si>
  <si>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</si>
  <si>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</si>
  <si>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</si>
  <si>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</si>
  <si>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</si>
  <si>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</si>
  <si>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</si>
  <si>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</si>
  <si>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</si>
  <si>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</si>
  <si>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</si>
  <si>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</si>
  <si>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</si>
  <si>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</si>
  <si>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</si>
  <si>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</si>
  <si>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</si>
  <si>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</si>
  <si>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</si>
  <si>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</si>
  <si>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</si>
  <si>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</si>
  <si>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</si>
  <si>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</si>
  <si>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</si>
  <si>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</si>
  <si>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</si>
  <si>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</si>
  <si>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</si>
  <si>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</si>
  <si>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</si>
  <si>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</si>
  <si>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</si>
  <si>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</si>
  <si>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</si>
  <si>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</si>
  <si>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</si>
  <si>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</si>
  <si>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</si>
  <si>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</si>
  <si>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</si>
  <si>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</si>
  <si>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</si>
  <si>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</si>
  <si>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</si>
  <si>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</si>
  <si>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</si>
  <si>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</si>
  <si>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</si>
  <si>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</si>
  <si>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</si>
  <si>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</si>
  <si>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</si>
  <si>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</si>
  <si>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</si>
  <si>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</si>
  <si>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</si>
  <si>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</si>
  <si>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</si>
  <si>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</si>
  <si>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</si>
  <si>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</si>
  <si>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</si>
  <si>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</si>
  <si>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</si>
  <si>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</si>
  <si>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</si>
  <si>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</si>
  <si>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</si>
  <si>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</si>
  <si>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</si>
  <si>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</si>
  <si>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</si>
  <si>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</si>
  <si>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</si>
  <si>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</si>
  <si>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</si>
  <si>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</si>
  <si>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</si>
  <si>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</si>
  <si>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</si>
  <si>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</si>
  <si>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</si>
  <si>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</si>
  <si>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</si>
  <si>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</si>
  <si>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</si>
  <si>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</si>
  <si>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</si>
  <si>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</si>
  <si>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</si>
  <si>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Parker-Hannifan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</si>
  <si>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</si>
  <si>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</si>
  <si>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</si>
  <si>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</si>
  <si>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</si>
  <si>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</si>
  <si>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</si>
  <si>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</si>
  <si>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</si>
  <si>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</si>
  <si>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</si>
  <si>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</si>
  <si>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</si>
  <si>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</si>
  <si>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</si>
  <si>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</si>
  <si>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</si>
  <si>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</si>
  <si>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</si>
  <si>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</si>
  <si>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</si>
  <si>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</si>
  <si>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</si>
  <si>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</si>
  <si>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</si>
  <si>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</si>
  <si>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</si>
  <si>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</si>
  <si>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</si>
  <si>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</si>
  <si>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</si>
  <si>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</si>
  <si>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</si>
  <si>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</si>
  <si>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</si>
  <si>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</si>
  <si>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</si>
  <si>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</si>
  <si>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</si>
  <si>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</si>
  <si>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</si>
  <si>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</si>
  <si>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</si>
  <si>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</si>
  <si>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</si>
  <si>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</si>
  <si>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</si>
  <si>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</si>
  <si>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</si>
  <si>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</si>
  <si>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</si>
  <si>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</si>
  <si>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</si>
  <si>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</si>
  <si>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</si>
  <si>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</si>
  <si>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</si>
  <si>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</si>
  <si>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</si>
  <si>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</si>
  <si>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</si>
  <si>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</si>
  <si>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</si>
  <si>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</si>
  <si>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</si>
  <si>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</si>
  <si>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</si>
  <si>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</si>
  <si>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</si>
  <si>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</si>
  <si>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</si>
  <si>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</si>
  <si>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</si>
  <si>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</si>
  <si>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</si>
  <si>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</si>
  <si>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</si>
  <si>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</si>
  <si>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</si>
  <si>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</si>
  <si>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</si>
  <si>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</si>
  <si>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</si>
  <si>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</si>
  <si>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</si>
  <si>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</si>
  <si>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</si>
  <si>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</si>
  <si>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</si>
  <si>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</si>
  <si>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</si>
  <si>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</si>
  <si>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</si>
  <si>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</si>
  <si>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</si>
  <si>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</si>
  <si>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</si>
  <si>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</si>
  <si>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</si>
  <si>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</si>
  <si>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</si>
  <si>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</si>
  <si>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</si>
  <si>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</si>
  <si>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</si>
  <si>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</si>
  <si>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</si>
  <si>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</si>
  <si>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</si>
  <si>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</si>
  <si>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</si>
  <si>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</si>
  <si>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</si>
  <si>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</si>
  <si>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</si>
  <si>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</si>
  <si>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</si>
  <si>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</si>
  <si>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</si>
  <si>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</si>
  <si>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</si>
  <si>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</si>
  <si>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</si>
  <si>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</si>
  <si>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</si>
  <si>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</si>
  <si>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</si>
  <si>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</si>
  <si>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</si>
  <si>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</si>
  <si>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</si>
  <si>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</si>
  <si>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</si>
  <si>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</si>
  <si>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</si>
  <si>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</si>
  <si>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</si>
  <si>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</si>
  <si>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</si>
  <si>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</si>
  <si>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</si>
  <si>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</si>
  <si>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</si>
  <si>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</si>
  <si>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</si>
  <si>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</si>
  <si>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</si>
  <si>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</si>
  <si>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>Maintentance Kit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</si>
  <si>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</si>
  <si>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</si>
  <si>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</si>
  <si>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</si>
  <si>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</si>
  <si>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</si>
  <si>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</si>
  <si>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</si>
  <si>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</si>
  <si>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</si>
  <si>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</si>
  <si>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</si>
  <si>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</si>
  <si>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</si>
  <si>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</si>
  <si>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</si>
  <si>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</si>
  <si>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</si>
  <si>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</si>
  <si>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</si>
  <si>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</si>
  <si>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</si>
  <si>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</si>
  <si>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</si>
  <si>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</si>
  <si>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</si>
  <si>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</si>
  <si>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</si>
  <si>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</si>
  <si>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</si>
  <si>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</si>
  <si>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</si>
  <si>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</si>
  <si>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</si>
  <si>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</si>
  <si>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</si>
  <si>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>John Deere 600-700-800 Series J Wheeloaders  and Combines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</si>
  <si>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</si>
  <si>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</si>
  <si>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</si>
  <si>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</si>
  <si>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</si>
  <si>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</si>
  <si>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</si>
  <si>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</si>
  <si>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</si>
  <si>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</si>
  <si>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</si>
  <si>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</si>
  <si>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</si>
  <si>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>Freightliner Business Class, Cascadia, Century, Coumbia, Coronado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</si>
  <si>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</si>
  <si>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</si>
  <si>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</si>
  <si>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</si>
  <si>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</si>
  <si>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</si>
  <si>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</si>
  <si>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</si>
  <si>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</si>
  <si>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</si>
  <si>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</si>
  <si>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</si>
  <si>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</si>
  <si>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</si>
  <si>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</si>
  <si>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</si>
  <si>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</si>
  <si>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</si>
  <si>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</si>
  <si>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</si>
  <si>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</si>
  <si>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</si>
  <si>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</si>
  <si>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</si>
  <si>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</si>
  <si>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</si>
  <si>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</si>
  <si>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</si>
  <si>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</si>
  <si>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</si>
  <si>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</si>
  <si>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</si>
  <si>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</si>
  <si>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</si>
  <si>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</si>
  <si>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</si>
  <si>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</si>
  <si>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</si>
  <si>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</si>
  <si>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</si>
  <si>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</si>
  <si>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</si>
  <si>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</si>
  <si>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</si>
  <si>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</si>
  <si>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</si>
  <si>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</si>
  <si>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</si>
  <si>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</si>
  <si>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</si>
  <si>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</si>
  <si>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</si>
  <si>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</si>
  <si>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</si>
  <si>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</si>
  <si>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</si>
  <si>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</si>
  <si>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</si>
  <si>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</si>
  <si>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</si>
  <si>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</si>
  <si>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</si>
  <si>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</si>
  <si>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</si>
  <si>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</si>
  <si>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</si>
  <si>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</si>
  <si>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</si>
  <si>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</si>
  <si>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</si>
  <si>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</si>
  <si>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</si>
  <si>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</si>
  <si>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</si>
  <si>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</si>
  <si>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</si>
  <si>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</si>
  <si>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</si>
  <si>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</si>
  <si>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</si>
  <si>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</si>
  <si>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</si>
  <si>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</si>
  <si>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</si>
  <si>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</si>
  <si>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</si>
  <si>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</si>
  <si>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</si>
  <si>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</si>
  <si>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</si>
  <si>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</si>
  <si>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</si>
  <si>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</si>
  <si>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L7663F</t>
  </si>
  <si>
    <t>Paccar 1852006PE; 2014 Kenworth &amp; Peterbilt  trucks with Paccar MX engine)</t>
  </si>
  <si>
    <t>1852006PE</t>
  </si>
  <si>
    <t>AF5230</t>
  </si>
  <si>
    <t xml:space="preserve">Acura MDX </t>
  </si>
  <si>
    <t>17220-5J6-A00</t>
  </si>
  <si>
    <t>CA11712</t>
  </si>
  <si>
    <t>AF1642</t>
  </si>
  <si>
    <t>33-5013</t>
  </si>
  <si>
    <t>A28168</t>
  </si>
  <si>
    <t>AF8168</t>
  </si>
  <si>
    <t>WAF5230</t>
  </si>
  <si>
    <t>WA10053</t>
  </si>
  <si>
    <t>AF5699</t>
  </si>
  <si>
    <t xml:space="preserve">Mercedes-Benz SLK350, C350,  E350 (2012-16) </t>
  </si>
  <si>
    <t>CA11439</t>
  </si>
  <si>
    <t>AF1574</t>
  </si>
  <si>
    <t>E1040L</t>
  </si>
  <si>
    <t>LX3140</t>
  </si>
  <si>
    <t>C43139</t>
  </si>
  <si>
    <t>SA11439</t>
  </si>
  <si>
    <t>WAF5699</t>
  </si>
  <si>
    <t>AF3611</t>
  </si>
  <si>
    <t xml:space="preserve">Audi, Volkswagen Jetta 2.0L (2011-15) </t>
  </si>
  <si>
    <t>1F0-129-620</t>
  </si>
  <si>
    <t>1-987-429-405</t>
  </si>
  <si>
    <t>CA9800</t>
  </si>
  <si>
    <t>AF1595</t>
  </si>
  <si>
    <t>C14130</t>
  </si>
  <si>
    <t>SA9800</t>
  </si>
  <si>
    <t>WAF3611</t>
  </si>
  <si>
    <t>AF3618</t>
  </si>
  <si>
    <t xml:space="preserve">BMW 3 Series 2.0L 4 cyl. (2012-16)  </t>
  </si>
  <si>
    <t>ALCO</t>
  </si>
  <si>
    <t>MD8654</t>
  </si>
  <si>
    <t>CA11305</t>
  </si>
  <si>
    <t>AF1630</t>
  </si>
  <si>
    <t>E1079L</t>
  </si>
  <si>
    <t>LX2077/3</t>
  </si>
  <si>
    <t>C24025</t>
  </si>
  <si>
    <t>WAF3618</t>
  </si>
  <si>
    <t>WA10005</t>
  </si>
  <si>
    <t>CAF1753</t>
  </si>
  <si>
    <t xml:space="preserve">Daewoo Nubira (1998-2002) </t>
  </si>
  <si>
    <t>Daewoo</t>
  </si>
  <si>
    <t>PH488</t>
  </si>
  <si>
    <t xml:space="preserve">Chevrolet 1.4L and 1.5L (2016-17) </t>
  </si>
  <si>
    <t>UPF64R</t>
  </si>
  <si>
    <t>WPH488</t>
  </si>
  <si>
    <t>CAF1945P</t>
  </si>
  <si>
    <t xml:space="preserve">Audi A3, VW Golf (2015-16) </t>
  </si>
  <si>
    <t>Audi</t>
  </si>
  <si>
    <t>5Q0-819-644</t>
  </si>
  <si>
    <t>5Q0-819-644A</t>
  </si>
  <si>
    <t>E2998Li</t>
  </si>
  <si>
    <t>CU26009</t>
  </si>
  <si>
    <t>P1028</t>
  </si>
  <si>
    <t xml:space="preserve">2015 VW Golf diesel </t>
  </si>
  <si>
    <t>03N-115-562</t>
  </si>
  <si>
    <t>E340HD247</t>
  </si>
  <si>
    <t>HU7020z</t>
  </si>
  <si>
    <t>L28176</t>
  </si>
  <si>
    <t>WP1028</t>
  </si>
  <si>
    <t>WL10056</t>
  </si>
  <si>
    <t>038568744463</t>
  </si>
  <si>
    <t>10038568744460</t>
  </si>
  <si>
    <t>UB Supplied - Dimensions Unknown</t>
  </si>
  <si>
    <t>038568744586</t>
  </si>
  <si>
    <t>10038568744583</t>
  </si>
  <si>
    <t>038568742490</t>
  </si>
  <si>
    <t>10038568742497</t>
  </si>
  <si>
    <t>038568744678</t>
  </si>
  <si>
    <t>10038568744675</t>
  </si>
  <si>
    <t>038568744340</t>
  </si>
  <si>
    <t>10038568744347</t>
  </si>
  <si>
    <t>038568730572</t>
  </si>
  <si>
    <t>10038568743630</t>
  </si>
  <si>
    <t>038568744272</t>
  </si>
  <si>
    <t>10038568744279</t>
  </si>
  <si>
    <t>038568744357</t>
  </si>
  <si>
    <t>10038568744354</t>
  </si>
  <si>
    <t>038568744364</t>
  </si>
  <si>
    <t>10038568744361</t>
  </si>
  <si>
    <t>AF3621</t>
  </si>
  <si>
    <t xml:space="preserve">VW Golf (2015-16) </t>
  </si>
  <si>
    <t>5Q0-129-620</t>
  </si>
  <si>
    <t>5Q0-129-620B</t>
  </si>
  <si>
    <t>5QM-129-620D</t>
  </si>
  <si>
    <t>5QM-129-620A</t>
  </si>
  <si>
    <t>E1090L</t>
  </si>
  <si>
    <t>LX3502</t>
  </si>
  <si>
    <t>C30005</t>
  </si>
  <si>
    <t>AF5247</t>
  </si>
  <si>
    <t xml:space="preserve">(2014-2016) Ram Pro Master van  </t>
  </si>
  <si>
    <t>52022424AA</t>
  </si>
  <si>
    <t>RS10021</t>
  </si>
  <si>
    <t>CAF1946C</t>
  </si>
  <si>
    <t>Mini Cooper 1.5L and 2.0L (2015-16)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</si>
  <si>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</si>
  <si>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</si>
  <si>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</si>
  <si>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</si>
  <si>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</si>
  <si>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</si>
  <si>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</si>
  <si>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AF3619</t>
  </si>
  <si>
    <t xml:space="preserve">Volkswagen Jetta 4 cyl. 1.4L (2013-16) </t>
  </si>
  <si>
    <t xml:space="preserve"> 04E-129-620</t>
  </si>
  <si>
    <t>C27009</t>
  </si>
  <si>
    <t>WA10072</t>
  </si>
  <si>
    <t>LFP6288</t>
  </si>
  <si>
    <t xml:space="preserve">Dodge Promaster Diesel van (2014-16)  </t>
  </si>
  <si>
    <t>68095335AA</t>
  </si>
  <si>
    <t>H17W29</t>
  </si>
  <si>
    <t>OC613</t>
  </si>
  <si>
    <t>W940/69</t>
  </si>
  <si>
    <t>L38167</t>
  </si>
  <si>
    <t>WLFP6288</t>
  </si>
  <si>
    <t>WL10058</t>
  </si>
  <si>
    <t>AF3195</t>
  </si>
  <si>
    <t xml:space="preserve">Chevrolet Colorado (2015-16)   </t>
  </si>
  <si>
    <t xml:space="preserve"> A3195C</t>
  </si>
  <si>
    <t>AF1672</t>
  </si>
  <si>
    <t>SA11959</t>
  </si>
  <si>
    <t>WAF3195</t>
  </si>
  <si>
    <t>AF5248</t>
  </si>
  <si>
    <t xml:space="preserve">Honda Fit (2015-16) </t>
  </si>
  <si>
    <t>17220-5R0-008</t>
  </si>
  <si>
    <t>AF1666</t>
  </si>
  <si>
    <t>WAF5248</t>
  </si>
  <si>
    <t>WA10212</t>
  </si>
  <si>
    <t>AF5251</t>
  </si>
  <si>
    <t xml:space="preserve">Kia Forte (2014-16) </t>
  </si>
  <si>
    <t>28113-3X000</t>
  </si>
  <si>
    <t>PA4480</t>
  </si>
  <si>
    <t>CA11053</t>
  </si>
  <si>
    <t>AF1511</t>
  </si>
  <si>
    <t>A6166</t>
  </si>
  <si>
    <t>SA11053A</t>
  </si>
  <si>
    <t>AF6166</t>
  </si>
  <si>
    <t>WAF5251</t>
  </si>
  <si>
    <t>AF5252</t>
  </si>
  <si>
    <t>Air Filter, Axial</t>
  </si>
  <si>
    <t>GM Full Size Vans 2016</t>
  </si>
  <si>
    <t>PA4126</t>
  </si>
  <si>
    <t>AF5858</t>
  </si>
  <si>
    <t>WAF5252</t>
  </si>
  <si>
    <t>AF9918</t>
  </si>
  <si>
    <t xml:space="preserve">Ford Mustang (2015-16) </t>
  </si>
  <si>
    <t>FR3Z-9601-A</t>
  </si>
  <si>
    <t>FA1918</t>
  </si>
  <si>
    <t>A48156</t>
  </si>
  <si>
    <t>WAF9918</t>
  </si>
  <si>
    <t>L3548F</t>
  </si>
  <si>
    <t>Fuel Filter, In-Line</t>
  </si>
  <si>
    <t xml:space="preserve">BMW X5 3.0L Diesel Turbo (2009-12)  </t>
  </si>
  <si>
    <t>KL169/4D</t>
  </si>
  <si>
    <t>WK11245</t>
  </si>
  <si>
    <t>L4107F</t>
  </si>
  <si>
    <t>Mercedes-Benz GL/ML with Bluetec (2012-16)  Frieghtliner and Mercedes Sprinter van  (2010-12)</t>
  </si>
  <si>
    <t>Freightliner / Mercedes</t>
  </si>
  <si>
    <t>WK820/14</t>
  </si>
  <si>
    <t>L9621F</t>
  </si>
  <si>
    <t xml:space="preserve">Ford Transit Van (2015-16) (CC1Z-9365-A)   </t>
  </si>
  <si>
    <t>CC1Z-9365-A</t>
  </si>
  <si>
    <t>PF46004</t>
  </si>
  <si>
    <t>FD4621</t>
  </si>
  <si>
    <t>LFF5106</t>
  </si>
  <si>
    <t xml:space="preserve">Ram 4500 and 5500 6.7L diesel pickup.  (2013-16)  </t>
  </si>
  <si>
    <t xml:space="preserve">Chrysler </t>
  </si>
  <si>
    <t>68197867AA</t>
  </si>
  <si>
    <t>BF46031</t>
  </si>
  <si>
    <t>FF1279</t>
  </si>
  <si>
    <t>WF10112</t>
  </si>
  <si>
    <t>G6391</t>
  </si>
  <si>
    <t xml:space="preserve">Audi A3 (2006-13), Volkswagen  EOS (2007-16)  </t>
  </si>
  <si>
    <t>1K0-201-051C</t>
  </si>
  <si>
    <t>G10243</t>
  </si>
  <si>
    <t>GF386</t>
  </si>
  <si>
    <t>H280WK</t>
  </si>
  <si>
    <t>KL156/3</t>
  </si>
  <si>
    <t>WK69</t>
  </si>
  <si>
    <t>G6844</t>
  </si>
  <si>
    <t xml:space="preserve">Cadillac SRX (2010-16) </t>
  </si>
  <si>
    <t>GF388</t>
  </si>
  <si>
    <t>GF844</t>
  </si>
  <si>
    <t>AF3927</t>
  </si>
  <si>
    <t>BMW Z4 3.0L Non-Turbo (2009-16), Z4 2.0L Turbo (2012-16)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</si>
  <si>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</si>
  <si>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</si>
  <si>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</si>
  <si>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</si>
  <si>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</si>
  <si>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</si>
  <si>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</si>
  <si>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</si>
  <si>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AF5233</t>
  </si>
  <si>
    <t xml:space="preserve">Jeep Cherokee (2014-16) </t>
  </si>
  <si>
    <t>52022378AA</t>
  </si>
  <si>
    <t>PA4484</t>
  </si>
  <si>
    <t>AF1619</t>
  </si>
  <si>
    <t>33-5009</t>
  </si>
  <si>
    <t>WAF5233</t>
  </si>
  <si>
    <t>WA10096</t>
  </si>
  <si>
    <t>AF5239</t>
  </si>
  <si>
    <t xml:space="preserve">Chrysler 200 (2015-16) </t>
  </si>
  <si>
    <t>68157194AA</t>
  </si>
  <si>
    <t>PA10006</t>
  </si>
  <si>
    <t>AF1660</t>
  </si>
  <si>
    <t>SA11948</t>
  </si>
  <si>
    <t>WAF5239</t>
  </si>
  <si>
    <t>WA10296</t>
  </si>
  <si>
    <t>AF5240</t>
  </si>
  <si>
    <t xml:space="preserve">Toyota Tundra &amp; Sequoia 5.7L (2014-16) </t>
  </si>
  <si>
    <t>17801-0S020</t>
  </si>
  <si>
    <t>33-5017</t>
  </si>
  <si>
    <t>A58172</t>
  </si>
  <si>
    <t>WAF5240</t>
  </si>
  <si>
    <t>WA10085</t>
  </si>
  <si>
    <t>L5693F</t>
  </si>
  <si>
    <t>Fuel Filter, Cartridge</t>
  </si>
  <si>
    <t xml:space="preserve">Ram 1500 Pickup Diesel (2014-16)  </t>
  </si>
  <si>
    <t>68235275AA</t>
  </si>
  <si>
    <t>038568744593</t>
  </si>
  <si>
    <t>10038568744590</t>
  </si>
  <si>
    <t>038568744746</t>
  </si>
  <si>
    <t>10038568744743</t>
  </si>
  <si>
    <t>038568743114</t>
  </si>
  <si>
    <t>10038568743111</t>
  </si>
  <si>
    <t>038568744609</t>
  </si>
  <si>
    <t>10038568744606</t>
  </si>
  <si>
    <t>038568744081</t>
  </si>
  <si>
    <t>10038568744088</t>
  </si>
  <si>
    <t>038568744760</t>
  </si>
  <si>
    <t>10038568744767</t>
  </si>
  <si>
    <t>038568744623</t>
  </si>
  <si>
    <t>10038568744620</t>
  </si>
  <si>
    <t>038568744203</t>
  </si>
  <si>
    <t>10038568744200</t>
  </si>
  <si>
    <t>038568744371</t>
  </si>
  <si>
    <t>10038568744378</t>
  </si>
  <si>
    <t>038568744210</t>
  </si>
  <si>
    <t>10038568744217</t>
  </si>
  <si>
    <t>Taiwan</t>
  </si>
  <si>
    <t>038568744173</t>
  </si>
  <si>
    <t>10038568744170</t>
  </si>
  <si>
    <t>038568744234</t>
  </si>
  <si>
    <t>10038568744231</t>
  </si>
  <si>
    <t>038568744227</t>
  </si>
  <si>
    <t>10038568744224</t>
  </si>
  <si>
    <t>038568743770</t>
  </si>
  <si>
    <t>10038568743777</t>
  </si>
  <si>
    <t>038568743084</t>
  </si>
  <si>
    <t>10038568743081</t>
  </si>
  <si>
    <t>038568743671</t>
  </si>
  <si>
    <t>10038568743678</t>
  </si>
  <si>
    <t>038568743107</t>
  </si>
  <si>
    <t>10038568743104</t>
  </si>
  <si>
    <t>038568744104</t>
  </si>
  <si>
    <t>10038568744101</t>
  </si>
  <si>
    <t>BF46001</t>
  </si>
  <si>
    <t>FF276</t>
  </si>
  <si>
    <t>Each Weight</t>
  </si>
  <si>
    <t>Case Weight</t>
  </si>
  <si>
    <t>AF5236</t>
  </si>
  <si>
    <t>Fiat 500L (2014-17) ()</t>
  </si>
  <si>
    <t>68202151AA</t>
  </si>
  <si>
    <t>33-5015</t>
  </si>
  <si>
    <t>WA10084</t>
  </si>
  <si>
    <t>AF5249</t>
  </si>
  <si>
    <t>Hyundai Sonata 1.6L and 2.0L (2015-17)  Turbo has locking lever</t>
  </si>
  <si>
    <t>28113-C1500</t>
  </si>
  <si>
    <t>CA11941</t>
  </si>
  <si>
    <t>SA11941</t>
  </si>
  <si>
    <t>A93214</t>
  </si>
  <si>
    <t>WA10301</t>
  </si>
  <si>
    <t>CAF1944P</t>
  </si>
  <si>
    <t xml:space="preserve">Hyundai Sonata (2015-17) </t>
  </si>
  <si>
    <t>2CH79-AP000</t>
  </si>
  <si>
    <t>CAF1944</t>
  </si>
  <si>
    <t>WP10155</t>
  </si>
  <si>
    <t>CAF1945C</t>
  </si>
  <si>
    <t>5Q0-819-653</t>
  </si>
  <si>
    <t>C38196C</t>
  </si>
  <si>
    <t>WCAF1945</t>
  </si>
  <si>
    <t>WP10159</t>
  </si>
  <si>
    <t>CAF1950P</t>
  </si>
  <si>
    <t xml:space="preserve">Toyota Prius (2016-17) </t>
  </si>
  <si>
    <t>87139-28020</t>
  </si>
  <si>
    <t>WCAF1950</t>
  </si>
  <si>
    <t>AF5246</t>
  </si>
  <si>
    <t xml:space="preserve">Honda CRV (2015-16) </t>
  </si>
  <si>
    <t>17220-5LA-A00</t>
  </si>
  <si>
    <t>CA11945</t>
  </si>
  <si>
    <t>33-5031</t>
  </si>
  <si>
    <t>A38197</t>
  </si>
  <si>
    <t>AF8197</t>
  </si>
  <si>
    <t>VA-431</t>
  </si>
  <si>
    <t>WA10269</t>
  </si>
  <si>
    <t>G2988</t>
  </si>
  <si>
    <t xml:space="preserve">Audi A6, A8, R8, and RS4 (2006-15)  </t>
  </si>
  <si>
    <t>4F0-201-511C</t>
  </si>
  <si>
    <t>G10215</t>
  </si>
  <si>
    <t>GF381</t>
  </si>
  <si>
    <t>H224WK</t>
  </si>
  <si>
    <t>KL571</t>
  </si>
  <si>
    <t>WK720/4</t>
  </si>
  <si>
    <t>AF5231</t>
  </si>
  <si>
    <t xml:space="preserve">Mitsubishi Outlander,Lancer (2014-17)  </t>
  </si>
  <si>
    <t>MR1500A513</t>
  </si>
  <si>
    <t>PA10000</t>
  </si>
  <si>
    <t>CA10910</t>
  </si>
  <si>
    <t>AF1645</t>
  </si>
  <si>
    <t>C25654</t>
  </si>
  <si>
    <t>WAF5231</t>
  </si>
  <si>
    <t>WA10058</t>
  </si>
  <si>
    <t>AF9916</t>
  </si>
  <si>
    <t>Ford Transit Van (2015-17)</t>
  </si>
  <si>
    <t>CK4Z-9601A</t>
  </si>
  <si>
    <t>CA11946</t>
  </si>
  <si>
    <t>33-5024</t>
  </si>
  <si>
    <t>A48225</t>
  </si>
  <si>
    <t>SA11946</t>
  </si>
  <si>
    <t>AF8225</t>
  </si>
  <si>
    <t>WA10316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</si>
  <si>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</si>
  <si>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</si>
  <si>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</si>
  <si>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</si>
  <si>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</si>
  <si>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</si>
  <si>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</si>
  <si>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</si>
  <si>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</si>
  <si>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</si>
  <si>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</si>
  <si>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</si>
  <si>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</si>
  <si>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</si>
  <si>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</si>
  <si>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</si>
  <si>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</si>
  <si>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</si>
  <si>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</si>
  <si>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LK374T</t>
  </si>
  <si>
    <t xml:space="preserve"> Thermo King APUs. Consists of:  1 - LAF8388, 1 - PH2808,     1 - LFF9342SC  </t>
  </si>
  <si>
    <t>LAF9300</t>
  </si>
  <si>
    <t>Radial Seal Air Element with Lid</t>
  </si>
  <si>
    <t>Thermo King Refrigeration Units</t>
  </si>
  <si>
    <t xml:space="preserve">Thermo-King </t>
  </si>
  <si>
    <t>11-9300</t>
  </si>
  <si>
    <t>RS5387  KIT</t>
  </si>
  <si>
    <t>P953446</t>
  </si>
  <si>
    <t>AF25119</t>
  </si>
  <si>
    <t>AF2454</t>
  </si>
  <si>
    <t>WA10060</t>
  </si>
  <si>
    <t>LAF6453MXM</t>
  </si>
  <si>
    <t>Nano Tech Air Filter w/Attached boot</t>
  </si>
  <si>
    <t>Case 1221E Wheel Loaders  Extended/Severe service version of LAF6453</t>
  </si>
  <si>
    <t>Case</t>
  </si>
  <si>
    <t>A652CF</t>
  </si>
  <si>
    <t>3I0802</t>
  </si>
  <si>
    <t>Clark</t>
  </si>
  <si>
    <t>11L601870</t>
  </si>
  <si>
    <t>PA2456</t>
  </si>
  <si>
    <t>DBA5049</t>
  </si>
  <si>
    <t>AF891M</t>
  </si>
  <si>
    <t>CA3273</t>
  </si>
  <si>
    <t>2546NP</t>
  </si>
  <si>
    <t>42546NP</t>
  </si>
  <si>
    <t>038568745057</t>
  </si>
  <si>
    <t>10038568745054</t>
  </si>
  <si>
    <t>BULK PKG W/ PARTITION</t>
  </si>
  <si>
    <t>038568744869</t>
  </si>
  <si>
    <t>10038568744866</t>
  </si>
  <si>
    <t>No Unit Box Used</t>
  </si>
  <si>
    <t>038568704054</t>
  </si>
  <si>
    <t>10038568704051</t>
  </si>
  <si>
    <t>Detroit Diesel  DD13, DD15, &amp; DD16 engines</t>
  </si>
  <si>
    <t>A4721800109</t>
  </si>
  <si>
    <t>P7505</t>
  </si>
  <si>
    <t>P551005</t>
  </si>
  <si>
    <t>LF17511</t>
  </si>
  <si>
    <t>CH10797</t>
  </si>
  <si>
    <t>L59925</t>
  </si>
  <si>
    <t>LK377M</t>
  </si>
  <si>
    <t>Maintenance Kit</t>
  </si>
  <si>
    <t>Kit contents include: 2- LFP3236, 1-LP3985, 1-LFF4470, &amp;    1-LFF4471</t>
  </si>
  <si>
    <t>LK378M</t>
  </si>
  <si>
    <t xml:space="preserve"> Kit contents include: 2- LFP3191XL, 1-LFP8642, 1-LFF8059, &amp; 1-LFF3358</t>
  </si>
  <si>
    <t>LK376V</t>
  </si>
  <si>
    <t>Kit contents include:  2- LFP3236, 1-LFP8642, 1-LFF8059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</si>
  <si>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</si>
  <si>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</si>
  <si>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</si>
  <si>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</si>
  <si>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</si>
  <si>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</si>
  <si>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</si>
  <si>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</si>
  <si>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</si>
  <si>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</si>
  <si>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</si>
  <si>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</si>
  <si>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</si>
  <si>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</si>
  <si>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</si>
  <si>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</si>
  <si>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</si>
  <si>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</si>
  <si>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LP5090A </t>
  </si>
  <si>
    <t xml:space="preserve">L8706F </t>
  </si>
  <si>
    <t xml:space="preserve">* Snap Lock Fuel Filter </t>
  </si>
  <si>
    <t xml:space="preserve"> ** Cartridge Oil Filter </t>
  </si>
  <si>
    <t>LFP9000XL</t>
  </si>
  <si>
    <t>Spin-on Oil Filter, Extended Life</t>
  </si>
  <si>
    <t>Cummins ISX, QSX engs.</t>
  </si>
  <si>
    <t>LFP9001XL</t>
  </si>
  <si>
    <t>Cummins ISX, QSX engs.  (Short Version of LFP9000XL)</t>
  </si>
  <si>
    <t>BD50000</t>
  </si>
  <si>
    <t>DBL7900</t>
  </si>
  <si>
    <t>LF14000NN</t>
  </si>
  <si>
    <t>WL10107</t>
  </si>
  <si>
    <t>LK379V</t>
  </si>
  <si>
    <t xml:space="preserve"> Kit contents include: 2- LFP3236, 1-LFP8642, 1-LFF8059, &amp; 1-L9765FXL</t>
  </si>
  <si>
    <t>038568745187</t>
  </si>
  <si>
    <t>10038568745184</t>
  </si>
  <si>
    <t>PARTITIONED CASE</t>
  </si>
  <si>
    <t>YES</t>
  </si>
  <si>
    <t>038568745149</t>
  </si>
  <si>
    <t>10038568745146</t>
  </si>
  <si>
    <t>038568745248</t>
  </si>
  <si>
    <t>10038568745245</t>
  </si>
  <si>
    <t>L5109F</t>
  </si>
  <si>
    <t>Cartridge Fuel/Water Separator</t>
  </si>
  <si>
    <t>Paccar Peterbnilt and Kenworth  trucks with Paccar MX-13 engine.</t>
  </si>
  <si>
    <t>K37-1009</t>
  </si>
  <si>
    <t>PF9929</t>
  </si>
  <si>
    <t>P557009</t>
  </si>
  <si>
    <t>FS20075</t>
  </si>
  <si>
    <t>WF10250</t>
  </si>
  <si>
    <t>038568744791</t>
  </si>
  <si>
    <t>10038568744798</t>
  </si>
  <si>
    <t>LAF4140</t>
  </si>
  <si>
    <t>Radial Seal Outer Air Filter</t>
  </si>
  <si>
    <t xml:space="preserve">Tigercat 720D Logging Equipment  </t>
  </si>
  <si>
    <t>RS5442</t>
  </si>
  <si>
    <t>P601767</t>
  </si>
  <si>
    <t>LAF4556MXM</t>
  </si>
  <si>
    <t>NanoTech Radial Seal Outer Air Filter</t>
  </si>
  <si>
    <t>RS5287XP</t>
  </si>
  <si>
    <t>DBA5295</t>
  </si>
  <si>
    <t>LAF4816MXM</t>
  </si>
  <si>
    <t>Donaldson ERA13 Housing (Radial Seal), Freightliner, Kenworth, Peterbilt, Western Star Trucks</t>
  </si>
  <si>
    <t>RS3539XP</t>
  </si>
  <si>
    <t>DBA5100</t>
  </si>
  <si>
    <t>AF25247</t>
  </si>
  <si>
    <t>LAF5518MXM</t>
  </si>
  <si>
    <t>NanoTech  Outer Air Filter</t>
  </si>
  <si>
    <t>Fiat Allis Crawler Tractors  (For Sec. air use LAF5526)</t>
  </si>
  <si>
    <t>PA2361XP</t>
  </si>
  <si>
    <t>NanoTech Outer Air Filter</t>
  </si>
  <si>
    <t>1221E Wheel Loaders  Extended/Severe service version of LAF6453</t>
  </si>
  <si>
    <t>PA2456XP</t>
  </si>
  <si>
    <t>LAF6986MXM</t>
  </si>
  <si>
    <t xml:space="preserve">Kenworth T800 and Peterbilt 388 trucks </t>
  </si>
  <si>
    <t>RS5288XP</t>
  </si>
  <si>
    <t>DBA5296</t>
  </si>
  <si>
    <t>038568739872</t>
  </si>
  <si>
    <t>10038568739879</t>
  </si>
  <si>
    <t>yes</t>
  </si>
  <si>
    <t>038568745354</t>
  </si>
  <si>
    <t>10038568745351</t>
  </si>
  <si>
    <t>038568745293</t>
  </si>
  <si>
    <t>10038568745290</t>
  </si>
  <si>
    <t>038568745286</t>
  </si>
  <si>
    <t>10038568745283</t>
  </si>
  <si>
    <t>038568745309</t>
  </si>
  <si>
    <t>10038568745306</t>
  </si>
  <si>
    <t>LAF8848</t>
  </si>
  <si>
    <t xml:space="preserve"> Kassbohrer Setra 315 GT-HD/Setra 415HDH  Kaessbohrer Buses (2002-)</t>
  </si>
  <si>
    <t xml:space="preserve">Mercedes </t>
  </si>
  <si>
    <t>A0040941804</t>
  </si>
  <si>
    <t>RS5422</t>
  </si>
  <si>
    <t>P783117</t>
  </si>
  <si>
    <t>AF26172</t>
  </si>
  <si>
    <t>LAF3663MXM</t>
  </si>
  <si>
    <t>John Deere Backhoes, Excavators &amp; Loaders  (For Sec. air use LAF3664)</t>
  </si>
  <si>
    <t>AP35310</t>
  </si>
  <si>
    <t>RS3882XP</t>
  </si>
  <si>
    <t>038568745330</t>
  </si>
  <si>
    <t>038568745347</t>
  </si>
  <si>
    <t>LAK1</t>
  </si>
  <si>
    <t>Case, Caterpillar, Driltech, KW-Dart, Terex, WABCO Equipment; Euclid, Komatsu Trucks</t>
  </si>
  <si>
    <t>038568745439</t>
  </si>
  <si>
    <t>n/a</t>
  </si>
  <si>
    <t>HD Metal-End Air Filter Maintenance Kit:                             1 - LAF1816 &amp; 1 - LAF1818</t>
  </si>
  <si>
    <t>L7661F</t>
  </si>
  <si>
    <t>Cartridge Fuel Filter</t>
  </si>
  <si>
    <t>John Deere 225D LC Excavators</t>
  </si>
  <si>
    <t>PF7984</t>
  </si>
  <si>
    <t>P502424</t>
  </si>
  <si>
    <t>FF269</t>
  </si>
  <si>
    <t>038568744616</t>
  </si>
  <si>
    <t>LAF5114</t>
  </si>
  <si>
    <t>Radial Seal Outer Air Filter (Standard version of LAF5114MXM)</t>
  </si>
  <si>
    <t xml:space="preserve">Mack Granite Series Trucks w/  Asset 460 eng.  (USE ONLY WITH MACK 2MD515M HOUSING  ALL OTHER HOUSINGS USE LAF8691) </t>
  </si>
  <si>
    <t>57MD320M</t>
  </si>
  <si>
    <t>RS4634</t>
  </si>
  <si>
    <t>L6806FXL</t>
  </si>
  <si>
    <t>Ram pickups with 6.7L diesel (2013-17)  Chrysler Hi capacity version  of L6806F</t>
  </si>
  <si>
    <t>68157291AA</t>
  </si>
  <si>
    <t>FS53000</t>
  </si>
  <si>
    <t>038568745408</t>
  </si>
  <si>
    <t>038568745415</t>
  </si>
  <si>
    <t>Effective Date</t>
  </si>
  <si>
    <t>LFF6776XL</t>
  </si>
  <si>
    <t>Spin-on Fuel Filter (Long Life version of LFF6776)</t>
  </si>
  <si>
    <t>Kenworth, Peterbilt Trucks with Cummins ISX11.9, QSX11.9 Engines</t>
  </si>
  <si>
    <t>BF46129</t>
  </si>
  <si>
    <t>DBF5776</t>
  </si>
  <si>
    <t>FF5825NN</t>
  </si>
  <si>
    <t>CAF24035</t>
  </si>
  <si>
    <t>Kenworth T680, Peterbilt 579 Truck</t>
  </si>
  <si>
    <t xml:space="preserve">Peterbilt </t>
  </si>
  <si>
    <t>X1987001</t>
  </si>
  <si>
    <t>PA30093</t>
  </si>
  <si>
    <t>AF55839</t>
  </si>
  <si>
    <t>0 38568 74596 5</t>
  </si>
  <si>
    <t>6PK</t>
  </si>
  <si>
    <t>0 38568 74613 9</t>
  </si>
  <si>
    <t>3PK</t>
  </si>
  <si>
    <t>CAF24022</t>
  </si>
  <si>
    <t>Freightliner Cascadia  Truck (Sleeper)</t>
  </si>
  <si>
    <t>Freightliner</t>
  </si>
  <si>
    <t>VCC T1000917R</t>
  </si>
  <si>
    <t>PA30166</t>
  </si>
  <si>
    <t>P628395</t>
  </si>
  <si>
    <t>AF55821</t>
  </si>
  <si>
    <t>VCC T1000906J</t>
  </si>
  <si>
    <t>PA30165</t>
  </si>
  <si>
    <t>P628394</t>
  </si>
  <si>
    <t>AF55820</t>
  </si>
  <si>
    <t>0 38568 74558 3</t>
  </si>
  <si>
    <t>3 pk</t>
  </si>
  <si>
    <t>0 38568 74559 0</t>
  </si>
  <si>
    <t xml:space="preserve">Freightliner Columbia,  Coronado, M2 Trucks (Recirculating filter) </t>
  </si>
  <si>
    <t>CAF24023</t>
  </si>
  <si>
    <t>LFF8897</t>
  </si>
  <si>
    <t>Volvo and Mack 2017 emmision engines.</t>
  </si>
  <si>
    <t>BF46117</t>
  </si>
  <si>
    <t>0 38568 74565 1</t>
  </si>
  <si>
    <t>6 PK</t>
  </si>
  <si>
    <t>Centrifugal by-Pass Lube Element</t>
  </si>
  <si>
    <t>International Engines, Trucks</t>
  </si>
  <si>
    <t>0 38568 74157 8</t>
  </si>
  <si>
    <t>LU7100</t>
  </si>
  <si>
    <t>(2010+) Class 4 through Class 8 trucks w/Cummins Eng.</t>
  </si>
  <si>
    <t>F00BH40428877</t>
  </si>
  <si>
    <t>UF101</t>
  </si>
  <si>
    <t>W74B191</t>
  </si>
  <si>
    <t>0 38568 74641 2</t>
  </si>
  <si>
    <t>68087337AA</t>
  </si>
  <si>
    <t>Deere</t>
  </si>
  <si>
    <t>RE554498</t>
  </si>
  <si>
    <t>Deutz-Fahr</t>
  </si>
  <si>
    <t>Urea (Diesel Exhuast Fluid) Filter</t>
  </si>
  <si>
    <t>OE Part #</t>
  </si>
  <si>
    <t>OE Ref Mfg #8</t>
  </si>
  <si>
    <t>OE Ref Mfg #9</t>
  </si>
  <si>
    <t>OE Ref Mfg #10</t>
  </si>
  <si>
    <t>OE Ref Mfg #11</t>
  </si>
  <si>
    <t>OE Ref Mfg #12</t>
  </si>
  <si>
    <t>OE Ref Mfg #13</t>
  </si>
  <si>
    <t>OE Ref Mfg #14</t>
  </si>
  <si>
    <t>OE Ref Mfg #15</t>
  </si>
  <si>
    <t>OE Ref Mfg #16</t>
  </si>
  <si>
    <t>LAF8326</t>
  </si>
  <si>
    <t>Round Air Filter, Flame Retardant Media</t>
  </si>
  <si>
    <t>Joy Compressors, Mining Equipment</t>
  </si>
  <si>
    <t>Impco</t>
  </si>
  <si>
    <t>F1-15</t>
  </si>
  <si>
    <t>CAF24030</t>
  </si>
  <si>
    <t>PA2102</t>
  </si>
  <si>
    <t>AF4928</t>
  </si>
  <si>
    <t>CA6525</t>
  </si>
  <si>
    <t>AF670</t>
  </si>
  <si>
    <t>A23508</t>
  </si>
  <si>
    <t>WP10278</t>
  </si>
  <si>
    <t>(2002-2017) Mack CT, CTP, CV, GU7&amp;8 Granite; CHN, CXN,Vision; CHU, CXP, CXU Pinnacle; RB, RD Series</t>
  </si>
  <si>
    <t>0 38568 74616 0</t>
  </si>
  <si>
    <t>0 38568 74615 3</t>
  </si>
  <si>
    <t>1 457 436 033</t>
  </si>
  <si>
    <t>E 103U D295</t>
  </si>
  <si>
    <t>U 5001 Kit</t>
  </si>
  <si>
    <t>LU7103</t>
  </si>
  <si>
    <t xml:space="preserve">Cummins, Detroit Diesel, Mercedes  applications. </t>
  </si>
  <si>
    <t>A0001420289</t>
  </si>
  <si>
    <t>Mann&amp;Hummel</t>
  </si>
  <si>
    <t>U58/1 Kit</t>
  </si>
  <si>
    <t>PE5272</t>
  </si>
  <si>
    <t>UF104</t>
  </si>
  <si>
    <t>E 102U D179</t>
  </si>
  <si>
    <t>0 38568 74640 5</t>
  </si>
  <si>
    <t>L6164F</t>
  </si>
  <si>
    <t>Nylon Mesh Fuel Strainer</t>
  </si>
  <si>
    <t>1873910-C91</t>
  </si>
  <si>
    <t>PF7994</t>
  </si>
  <si>
    <t>FF275</t>
  </si>
  <si>
    <t>F33910</t>
  </si>
  <si>
    <t>038568744043</t>
  </si>
  <si>
    <t>International Trucks with MaxxForce DT, MaxxForce 7, MaxxForce 9, MaxxForce 10 Engines</t>
  </si>
  <si>
    <t>2019 NEW PRODUCT INTRODUCTION</t>
  </si>
  <si>
    <t>LAF5128</t>
  </si>
  <si>
    <t xml:space="preserve">Radial Seal Outer Air Filter (includes 6 hole style gasket for W900 housing. W900 is a six bolt housing with special 6 hole gasket arrangement) </t>
  </si>
  <si>
    <t>Kenworth W900 w/Cat C11 &amp; C16 engines, Peterbilt 389 w/Cummins ISX15 and Paccar MX-13 engines</t>
  </si>
  <si>
    <t>X011622</t>
  </si>
  <si>
    <t>RS30187XP</t>
  </si>
  <si>
    <t>P625128</t>
  </si>
  <si>
    <t>AF25144</t>
  </si>
  <si>
    <t>LAF5128MXM</t>
  </si>
  <si>
    <t xml:space="preserve">NanoTech Radial Seal Outer Air Filter (includes 6 hole style gasket for W900 housing. W900 is a six bolt housing with special 6 hole gasket arrangement) </t>
  </si>
  <si>
    <t>X011623</t>
  </si>
  <si>
    <t>038568746023</t>
  </si>
  <si>
    <t>038568746016</t>
  </si>
  <si>
    <t>LK382P</t>
  </si>
  <si>
    <t xml:space="preserve">Maintenance Kit </t>
  </si>
  <si>
    <t>1714366PE</t>
  </si>
  <si>
    <t>LU7101</t>
  </si>
  <si>
    <t>Cummins, Case, New Holland, Volvo</t>
  </si>
  <si>
    <t>PE5271</t>
  </si>
  <si>
    <t>WB74192</t>
  </si>
  <si>
    <t>LU7102</t>
  </si>
  <si>
    <t>Cummins, DAF, Paccar, Volvo</t>
  </si>
  <si>
    <t>PE5270</t>
  </si>
  <si>
    <t>038568746900</t>
  </si>
  <si>
    <t>GERMANY</t>
  </si>
  <si>
    <t>038568746542</t>
  </si>
  <si>
    <t>038568746559</t>
  </si>
  <si>
    <t>2015-2017 Paccar MX-11 Engine, Kenworth &amp; Peterbilt models. (Kit contains: 1 - Cartridge Fuel Filter #1852006; 1 - Cartridge Oil Filter #1928868; 1- Spinner Oil Filter #1928869; 1 - Plug #1982821)</t>
  </si>
  <si>
    <t>LFF3009</t>
  </si>
  <si>
    <t>Cummins QSB/L Series and 2014+ Cummins ISB6.7 Engines on Kenworth and Peterbilt medium duty trucks. QSB6.7 FOR TIER 4 FINAL/STAGE IV.  2013- Freightliner and Mack ISL9 engines, Paccar PX7 engine (2014-)F</t>
  </si>
  <si>
    <t>A</t>
  </si>
  <si>
    <t>FF63009</t>
  </si>
  <si>
    <t>0 38568 74679 5</t>
  </si>
  <si>
    <t>VIO</t>
  </si>
  <si>
    <t>POP Code</t>
  </si>
  <si>
    <t>Distributor Stock Item</t>
  </si>
  <si>
    <t>Spin-on Oil Filter</t>
  </si>
  <si>
    <t>Cartridge Oil Filter</t>
  </si>
  <si>
    <t>Spin-on Fuel Filter</t>
  </si>
  <si>
    <t>Flexible Panel Air Filter</t>
  </si>
  <si>
    <t>Cone Shaped Conical Air Filter</t>
  </si>
  <si>
    <t>HD Metal-End Air Filter</t>
  </si>
  <si>
    <t>Metal-End Air Filter with Closed Top End Cap</t>
  </si>
  <si>
    <t>HD Round Air Filter with Attached Lid</t>
  </si>
  <si>
    <t>Radial Seal Inner Air Filter</t>
  </si>
  <si>
    <t>Disposible Housing Air Filter</t>
  </si>
  <si>
    <t>Finned Vane Air Filter</t>
  </si>
  <si>
    <t>HD Metal-End Air Filter with Attached Lid</t>
  </si>
  <si>
    <t>Detroit Diesel Engine Maintenance Kit</t>
  </si>
  <si>
    <t>Cartridge Hydraulic Filter</t>
  </si>
  <si>
    <t>Coolant Analysis Test Kit</t>
  </si>
  <si>
    <t>Disposible Housing Filter</t>
  </si>
  <si>
    <t>LAF8663</t>
  </si>
  <si>
    <t>U.S.</t>
  </si>
  <si>
    <t>PRODUCT OBSOLETE HISTORY</t>
  </si>
  <si>
    <t>159</t>
  </si>
  <si>
    <t>Imperial Fuel Element used in Luberfiner 200 Units</t>
  </si>
  <si>
    <t>700</t>
  </si>
  <si>
    <t>Cover Gasket for Luberfiner 300S</t>
  </si>
  <si>
    <t>Base Bolt for 750-2 and 750-3</t>
  </si>
  <si>
    <t>Washer, Pack Take-Up Assembly/F-120, F-155 &amp; F-170</t>
  </si>
  <si>
    <t>Hold Down Washer, Buna 750C and F-120, F-135, F-170</t>
  </si>
  <si>
    <t>Hole Down Spring/750-2, 2C, 3, 3C, F-120, F-155</t>
  </si>
  <si>
    <t>Inlet Valve Spring/500-B, C, 750-B, C</t>
  </si>
  <si>
    <t>Decal, Medium For All Models Except 750-2C, 3C</t>
  </si>
  <si>
    <t>Mounting Bracket Kit--Nuts &amp; Bolts/272C, 363C, 500C, 750C</t>
  </si>
  <si>
    <t>Hold Down Stud w/o Bleeder for 2258/500C, 750-C</t>
  </si>
  <si>
    <t>750-2C W/BASE</t>
  </si>
  <si>
    <t>750-3C W/BASE</t>
  </si>
  <si>
    <t>STEEL WASHER</t>
  </si>
  <si>
    <t>Retaining Ring/F-120, 155, 170</t>
  </si>
  <si>
    <t>HOLD DOWN</t>
  </si>
  <si>
    <t>750C HOUSING</t>
  </si>
  <si>
    <t>500C HOUSING</t>
  </si>
  <si>
    <t>OIL BLEEDER</t>
  </si>
  <si>
    <t>BRACKET BASE</t>
  </si>
  <si>
    <t>BRACKET BAND</t>
  </si>
  <si>
    <t>272C COVER</t>
  </si>
  <si>
    <t>363C HOUSING</t>
  </si>
  <si>
    <t>OUTLET CHECK</t>
  </si>
  <si>
    <t>OUTLET POST</t>
  </si>
  <si>
    <t>DRAIN COCK</t>
  </si>
  <si>
    <t>PACK SUPPORT</t>
  </si>
  <si>
    <t>INLET CHECK</t>
  </si>
  <si>
    <t>750-2 HOUSING</t>
  </si>
  <si>
    <t>750-3 HOUSING</t>
  </si>
  <si>
    <t>ALIGNMENT RNG</t>
  </si>
  <si>
    <t>OUTLET TUBE</t>
  </si>
  <si>
    <t>750 HSG BLACK</t>
  </si>
  <si>
    <t>BRACKET BLACK</t>
  </si>
  <si>
    <t>BASE BLACK</t>
  </si>
  <si>
    <t>BAND BLACK</t>
  </si>
  <si>
    <t>COVER 3 HOLE</t>
  </si>
  <si>
    <t>DIESEL PK 78</t>
  </si>
  <si>
    <t xml:space="preserve">500-C REFINING UNIT       </t>
  </si>
  <si>
    <t>MICRO HYD 750</t>
  </si>
  <si>
    <t>500C STANDARD</t>
  </si>
  <si>
    <t>750C STANDARD</t>
  </si>
  <si>
    <t>UPRIGHT 750C</t>
  </si>
  <si>
    <t>750-2C MICRO</t>
  </si>
  <si>
    <t>CLAMPING RING</t>
  </si>
  <si>
    <t>750-3C MICRO</t>
  </si>
  <si>
    <t>VENT PLUG</t>
  </si>
  <si>
    <t>SUPPORT CUP</t>
  </si>
  <si>
    <t>PACK HOLD</t>
  </si>
  <si>
    <t>INVERTED 500C</t>
  </si>
  <si>
    <t>500C OUTLET</t>
  </si>
  <si>
    <t>REFINING PACK</t>
  </si>
  <si>
    <t>750T DEISEL U</t>
  </si>
  <si>
    <t>750T INVERT U</t>
  </si>
  <si>
    <t>500 BLACK HSG</t>
  </si>
  <si>
    <t>O-RING</t>
  </si>
  <si>
    <t>750 REFN HYDR</t>
  </si>
  <si>
    <t>CENTER POST</t>
  </si>
  <si>
    <t>750C DIESEL</t>
  </si>
  <si>
    <t>750T DIESEL</t>
  </si>
  <si>
    <t>BLACK COVER</t>
  </si>
  <si>
    <t>F170 HOUSING</t>
  </si>
  <si>
    <t>F170 HSG ASSY</t>
  </si>
  <si>
    <t>750-2C W/WBKT</t>
  </si>
  <si>
    <t>750-3C W/WBKT</t>
  </si>
  <si>
    <t>HEAD CASTING</t>
  </si>
  <si>
    <t>BUNA-N GASKET</t>
  </si>
  <si>
    <t>750C REFN UNT</t>
  </si>
  <si>
    <t>HEAD SCREW</t>
  </si>
  <si>
    <t>SPRING</t>
  </si>
  <si>
    <t>WASHER</t>
  </si>
  <si>
    <t>F170-2 HEAD</t>
  </si>
  <si>
    <t>970 COVER</t>
  </si>
  <si>
    <t>970 SPRING</t>
  </si>
  <si>
    <t>4277 DRAIN CK</t>
  </si>
  <si>
    <t>970 HOLD DOWN</t>
  </si>
  <si>
    <t>970 HOUSING</t>
  </si>
  <si>
    <t>970C Unit</t>
  </si>
  <si>
    <t>Industrial Full-flow Unit w/LP970-25 Element/970-C Filter</t>
  </si>
  <si>
    <t>OIL RETURN</t>
  </si>
  <si>
    <t>500T DIESEL U</t>
  </si>
  <si>
    <t>750 GRAY UNIT</t>
  </si>
  <si>
    <t>500T DIESEL</t>
  </si>
  <si>
    <t>PKG UN &amp; PACK</t>
  </si>
  <si>
    <t>HOUSING</t>
  </si>
  <si>
    <t>750C NO CVALV</t>
  </si>
  <si>
    <t>LUBER-FINER F170W HOUSING</t>
  </si>
  <si>
    <t>PKG U PK &amp; BS</t>
  </si>
  <si>
    <t>PKG UNT &amp; PAC</t>
  </si>
  <si>
    <t>970C without element</t>
  </si>
  <si>
    <t>750C W/OUT PK</t>
  </si>
  <si>
    <t>750T GRAY UNT</t>
  </si>
  <si>
    <t>THRMO HLD DWN</t>
  </si>
  <si>
    <t>THERMO LABEL</t>
  </si>
  <si>
    <t>PKG PAC &amp; BSE</t>
  </si>
  <si>
    <t>INLET VALVE</t>
  </si>
  <si>
    <t>HOLD DOWN #4</t>
  </si>
  <si>
    <t>Hold Down Assembly w/#6 Orifice/500-C</t>
  </si>
  <si>
    <t>2159-4 OR PLG</t>
  </si>
  <si>
    <t>INLET VALVE ASSY</t>
  </si>
  <si>
    <t>200 MICRO SPL</t>
  </si>
  <si>
    <t>200S MICRO PK</t>
  </si>
  <si>
    <t>272 MICRO HYD</t>
  </si>
  <si>
    <t>500 MICROCELL</t>
  </si>
  <si>
    <t>ORIFICE 10/64</t>
  </si>
  <si>
    <t>ORIFICE 12/64</t>
  </si>
  <si>
    <t>ORIFICE .093</t>
  </si>
  <si>
    <t>GASKET 26-13863</t>
  </si>
  <si>
    <t>GASKET 326-21606</t>
  </si>
  <si>
    <t>3730SC</t>
  </si>
  <si>
    <t>3795B</t>
  </si>
  <si>
    <t>SERVICE GASKET</t>
  </si>
  <si>
    <t>4181X</t>
  </si>
  <si>
    <t>Gasket, Cummins Applied</t>
  </si>
  <si>
    <t>55-13104</t>
  </si>
  <si>
    <t>VLVE/CAP ASSY</t>
  </si>
  <si>
    <t>55-13106</t>
  </si>
  <si>
    <t>588-A</t>
  </si>
  <si>
    <t>FLOOR BASE</t>
  </si>
  <si>
    <t>BASE &amp; STUD ASSY</t>
  </si>
  <si>
    <t>AF1135</t>
  </si>
  <si>
    <t>AF1843</t>
  </si>
  <si>
    <t>AF204</t>
  </si>
  <si>
    <t>Round Plastisol Air Filter</t>
  </si>
  <si>
    <t>AF235</t>
  </si>
  <si>
    <t>AF253</t>
  </si>
  <si>
    <t>Oval Air Filter</t>
  </si>
  <si>
    <t>AF260</t>
  </si>
  <si>
    <t>AF278</t>
  </si>
  <si>
    <t>AF296</t>
  </si>
  <si>
    <t>AF357</t>
  </si>
  <si>
    <t>AF3888</t>
  </si>
  <si>
    <t>AF432</t>
  </si>
  <si>
    <t>AF4368</t>
  </si>
  <si>
    <t>AF4523</t>
  </si>
  <si>
    <t xml:space="preserve">Air, Metal-End </t>
  </si>
  <si>
    <t>AF524</t>
  </si>
  <si>
    <t>AF550</t>
  </si>
  <si>
    <t>Breather Filter</t>
  </si>
  <si>
    <t>AF5612</t>
  </si>
  <si>
    <t>AF607</t>
  </si>
  <si>
    <t>AF734</t>
  </si>
  <si>
    <t>AF7365</t>
  </si>
  <si>
    <t>AF7834</t>
  </si>
  <si>
    <t>Panel Air Metal Framed</t>
  </si>
  <si>
    <t>AF7886</t>
  </si>
  <si>
    <t xml:space="preserve">AF7963 </t>
  </si>
  <si>
    <t>Cadillac Catera (1997-01) (GM 90512851)</t>
  </si>
  <si>
    <t xml:space="preserve">AF8826 </t>
  </si>
  <si>
    <t>AF8900</t>
  </si>
  <si>
    <t>AF8914</t>
  </si>
  <si>
    <t>Rigid Panel Air Filter</t>
  </si>
  <si>
    <t>AF8934</t>
  </si>
  <si>
    <t>AF8937</t>
  </si>
  <si>
    <t>AF8942</t>
  </si>
  <si>
    <t>AF8945</t>
  </si>
  <si>
    <t>AF8949</t>
  </si>
  <si>
    <t>AFB7895</t>
  </si>
  <si>
    <t>AFB7897</t>
  </si>
  <si>
    <t>CAF1915P</t>
  </si>
  <si>
    <t>Use Up-Obsolete - Superceded by CAF1851P</t>
  </si>
  <si>
    <t>G1114</t>
  </si>
  <si>
    <t>In-Line Fuel Filter</t>
  </si>
  <si>
    <t>G250</t>
  </si>
  <si>
    <t>G2907</t>
  </si>
  <si>
    <t>G2982</t>
  </si>
  <si>
    <t>G6360</t>
  </si>
  <si>
    <t>G6897</t>
  </si>
  <si>
    <t>G840</t>
  </si>
  <si>
    <t>L1874T</t>
  </si>
  <si>
    <t>Sock Type Oil Filter</t>
  </si>
  <si>
    <t>L22000F</t>
  </si>
  <si>
    <t>L22149B</t>
  </si>
  <si>
    <t>Air Filter Pre Cleaner Bowl</t>
  </si>
  <si>
    <t>L3418F</t>
  </si>
  <si>
    <t>L3420F</t>
  </si>
  <si>
    <t>Cartridge Coalescer Filter</t>
  </si>
  <si>
    <t>L3523F</t>
  </si>
  <si>
    <t>L3542F</t>
  </si>
  <si>
    <t>L3576F</t>
  </si>
  <si>
    <t>L3923F</t>
  </si>
  <si>
    <t>L3924F</t>
  </si>
  <si>
    <t>Snap-Lock Fuel Filter</t>
  </si>
  <si>
    <t xml:space="preserve">Luberfiner </t>
  </si>
  <si>
    <t>L4110F</t>
  </si>
  <si>
    <t xml:space="preserve">L5752F </t>
  </si>
  <si>
    <t>Renault 7701204497; Renault Expressa with  F8Q 1.9l Diesel eng.</t>
  </si>
  <si>
    <t>L5844F</t>
  </si>
  <si>
    <t>Obsolete - Superceded by L1148F</t>
  </si>
  <si>
    <t>L5945F</t>
  </si>
  <si>
    <t>L8512F</t>
  </si>
  <si>
    <t>L8702F</t>
  </si>
  <si>
    <t>L8924F</t>
  </si>
  <si>
    <t>L897B</t>
  </si>
  <si>
    <t>Glass Bowl with Sensor Port for LFF8061</t>
  </si>
  <si>
    <t>L9721FXL</t>
  </si>
  <si>
    <t>Cartridge Fuel Water Separator Filter</t>
  </si>
  <si>
    <t>LAF1265</t>
  </si>
  <si>
    <t>LAF130</t>
  </si>
  <si>
    <t>LAF1351</t>
  </si>
  <si>
    <t>LAF1416</t>
  </si>
  <si>
    <t>LAF1476</t>
  </si>
  <si>
    <t>LAF1477</t>
  </si>
  <si>
    <t>LAF1479</t>
  </si>
  <si>
    <t>LAF16</t>
  </si>
  <si>
    <t>LAF1640</t>
  </si>
  <si>
    <t>LAF1711</t>
  </si>
  <si>
    <t>LAF1728</t>
  </si>
  <si>
    <t>LAF1730</t>
  </si>
  <si>
    <t>LAF1739</t>
  </si>
  <si>
    <t>Cone Shaped Air Filter With Attached Lid</t>
  </si>
  <si>
    <t>LAF1742</t>
  </si>
  <si>
    <t>Finned Van Air Filter</t>
  </si>
  <si>
    <t>LAF1746</t>
  </si>
  <si>
    <t>LAF1748</t>
  </si>
  <si>
    <t>LAF1749</t>
  </si>
  <si>
    <t>LAF1753</t>
  </si>
  <si>
    <t>LAF1758</t>
  </si>
  <si>
    <t>LAF1762</t>
  </si>
  <si>
    <t>LAF1763</t>
  </si>
  <si>
    <t>LAF1764</t>
  </si>
  <si>
    <t>LAF1789</t>
  </si>
  <si>
    <t>LAF1842</t>
  </si>
  <si>
    <t>LAF1886</t>
  </si>
  <si>
    <t>HD Round Air</t>
  </si>
  <si>
    <t>LAF1892</t>
  </si>
  <si>
    <t>LAF1898</t>
  </si>
  <si>
    <t>HD Metal-End Inner Air Filter</t>
  </si>
  <si>
    <t>LAF1949</t>
  </si>
  <si>
    <t>LAF1950</t>
  </si>
  <si>
    <t>LAF1951</t>
  </si>
  <si>
    <t>LAF1957</t>
  </si>
  <si>
    <t>Round Inner Air Filter with Flanged Endcap</t>
  </si>
  <si>
    <t>LAF1977</t>
  </si>
  <si>
    <t>HD Metal-End Air Filter-Inner</t>
  </si>
  <si>
    <t>LAF1979</t>
  </si>
  <si>
    <t>LAF1991</t>
  </si>
  <si>
    <t>LAF200</t>
  </si>
  <si>
    <t>LAF2183A</t>
  </si>
  <si>
    <t>LAF22031</t>
  </si>
  <si>
    <t>LAF22093</t>
  </si>
  <si>
    <t>LAF22096</t>
  </si>
  <si>
    <t>LAF2516MXM</t>
  </si>
  <si>
    <t>LAF2517</t>
  </si>
  <si>
    <t>LAF2528</t>
  </si>
  <si>
    <t>LAF2541</t>
  </si>
  <si>
    <t>LAF2547</t>
  </si>
  <si>
    <t>Heavy Duty Air Filter With Attached Lid</t>
  </si>
  <si>
    <t>LAF263</t>
  </si>
  <si>
    <t>LAF2872</t>
  </si>
  <si>
    <t>LAF3232</t>
  </si>
  <si>
    <t>LAF3704</t>
  </si>
  <si>
    <t>LAF3708</t>
  </si>
  <si>
    <t>LAF3715</t>
  </si>
  <si>
    <t>LAF3934</t>
  </si>
  <si>
    <t>Radial Seal Air with Attached Finn</t>
  </si>
  <si>
    <t>LAF4122</t>
  </si>
  <si>
    <t>LAF4150</t>
  </si>
  <si>
    <t>LAF4155</t>
  </si>
  <si>
    <t>Inner Air Element</t>
  </si>
  <si>
    <t>LAF4183</t>
  </si>
  <si>
    <t>LAF4207</t>
  </si>
  <si>
    <t>LAF4246</t>
  </si>
  <si>
    <t>LAF4279</t>
  </si>
  <si>
    <t>Radial Seal Air Filter Outer</t>
  </si>
  <si>
    <t>LAF4300</t>
  </si>
  <si>
    <t>LAF4324</t>
  </si>
  <si>
    <t>LAF4351</t>
  </si>
  <si>
    <t>LAF4361</t>
  </si>
  <si>
    <t>LAF4445</t>
  </si>
  <si>
    <t>LAF4499MXM</t>
  </si>
  <si>
    <t>LAF4544MXM</t>
  </si>
  <si>
    <t>LAF4607</t>
  </si>
  <si>
    <t>Superceded - Replaced by LAF4348</t>
  </si>
  <si>
    <t>LAF5035</t>
  </si>
  <si>
    <t>LAF5042</t>
  </si>
  <si>
    <t>HD Round Finned Air Filter with Attached Lid</t>
  </si>
  <si>
    <t>LAF5439</t>
  </si>
  <si>
    <t>LAF5614</t>
  </si>
  <si>
    <t>LAF5615</t>
  </si>
  <si>
    <t>LAF5759</t>
  </si>
  <si>
    <t>LAF5781</t>
  </si>
  <si>
    <t>LAF5782</t>
  </si>
  <si>
    <t>LAF5786</t>
  </si>
  <si>
    <t>LAF5803</t>
  </si>
  <si>
    <t>LAF5808</t>
  </si>
  <si>
    <t>Disposable Air Filter Housing</t>
  </si>
  <si>
    <t>LAF5846</t>
  </si>
  <si>
    <t>LAF5847</t>
  </si>
  <si>
    <t>Obsolete-Superseded by LAF3890</t>
  </si>
  <si>
    <t>LAF5859</t>
  </si>
  <si>
    <t>LAF5887</t>
  </si>
  <si>
    <t>LAF6126</t>
  </si>
  <si>
    <t>LAF6151</t>
  </si>
  <si>
    <t>LAF6165</t>
  </si>
  <si>
    <t>LAF6404</t>
  </si>
  <si>
    <t>HD Round Air Filter with Attached Boot</t>
  </si>
  <si>
    <t>LAF642</t>
  </si>
  <si>
    <t>LAF6682</t>
  </si>
  <si>
    <t>LAF6683</t>
  </si>
  <si>
    <t>LAF7417</t>
  </si>
  <si>
    <t>LAF744</t>
  </si>
  <si>
    <t>LAF7716MXM</t>
  </si>
  <si>
    <t>LAF8066</t>
  </si>
  <si>
    <t>LAF8070</t>
  </si>
  <si>
    <t>LAF8071</t>
  </si>
  <si>
    <t>HD Round Air with Attached Boot</t>
  </si>
  <si>
    <t>LAF8074</t>
  </si>
  <si>
    <t>LAF8075</t>
  </si>
  <si>
    <t>LAF8077</t>
  </si>
  <si>
    <t>LAF8079</t>
  </si>
  <si>
    <t>LAF8080</t>
  </si>
  <si>
    <t>LAF8081</t>
  </si>
  <si>
    <t>LAF8082</t>
  </si>
  <si>
    <t>LAF8084</t>
  </si>
  <si>
    <t>LAF8091</t>
  </si>
  <si>
    <t>LAF8098</t>
  </si>
  <si>
    <t>LAF8116MXM</t>
  </si>
  <si>
    <t>LAF8127</t>
  </si>
  <si>
    <t>LAF8130</t>
  </si>
  <si>
    <t>LAF8145MXM</t>
  </si>
  <si>
    <t>LAF8156</t>
  </si>
  <si>
    <t>LAF8160</t>
  </si>
  <si>
    <t>LAF8162</t>
  </si>
  <si>
    <t>LAF8166</t>
  </si>
  <si>
    <t>LAF8169</t>
  </si>
  <si>
    <t>LAF8218</t>
  </si>
  <si>
    <t>LAF8296</t>
  </si>
  <si>
    <t>LAF8333</t>
  </si>
  <si>
    <t>LAF8435</t>
  </si>
  <si>
    <t>LAF8436</t>
  </si>
  <si>
    <t>LAF8496</t>
  </si>
  <si>
    <t>LAF8497</t>
  </si>
  <si>
    <t>LAF8503</t>
  </si>
  <si>
    <t>LAF8513</t>
  </si>
  <si>
    <t>LAF8516</t>
  </si>
  <si>
    <t>LAF8517</t>
  </si>
  <si>
    <t>LAF8524</t>
  </si>
  <si>
    <t>LAF8525</t>
  </si>
  <si>
    <t>LAF8527</t>
  </si>
  <si>
    <t>LAF8528</t>
  </si>
  <si>
    <t>LAF8529</t>
  </si>
  <si>
    <t>LAF8553</t>
  </si>
  <si>
    <t>HD Round Air Filter with Threaded Mounting Stud</t>
  </si>
  <si>
    <t>LAF8553SC</t>
  </si>
  <si>
    <t>LAF8560</t>
  </si>
  <si>
    <t>LAF8562</t>
  </si>
  <si>
    <t>LAF8564</t>
  </si>
  <si>
    <t>LAF8565</t>
  </si>
  <si>
    <t>LAF8566</t>
  </si>
  <si>
    <t>LAF8568</t>
  </si>
  <si>
    <t>LAF8570</t>
  </si>
  <si>
    <t>LAF8571</t>
  </si>
  <si>
    <t>LAF8572</t>
  </si>
  <si>
    <t>LAF8574</t>
  </si>
  <si>
    <t>LAF8576</t>
  </si>
  <si>
    <t>LAF8580</t>
  </si>
  <si>
    <t>LAF8582</t>
  </si>
  <si>
    <t>LAF8598</t>
  </si>
  <si>
    <t>LAF8600</t>
  </si>
  <si>
    <t>LAF8601</t>
  </si>
  <si>
    <t>LAF8602</t>
  </si>
  <si>
    <t>LAF8604</t>
  </si>
  <si>
    <t>LAF8605</t>
  </si>
  <si>
    <t>LAF8606</t>
  </si>
  <si>
    <t>LAF8608</t>
  </si>
  <si>
    <t>LAF8615</t>
  </si>
  <si>
    <t>LAF8616</t>
  </si>
  <si>
    <t>LAF8622</t>
  </si>
  <si>
    <t>LAF8624</t>
  </si>
  <si>
    <t>LAF8626</t>
  </si>
  <si>
    <t>LAF8629</t>
  </si>
  <si>
    <t>LAF8631</t>
  </si>
  <si>
    <t>LAF8632</t>
  </si>
  <si>
    <t>LAF8644</t>
  </si>
  <si>
    <t>LAF8649</t>
  </si>
  <si>
    <t>LAF8658</t>
  </si>
  <si>
    <t>LAF8659</t>
  </si>
  <si>
    <t>LAF8662</t>
  </si>
  <si>
    <t>LAF8665</t>
  </si>
  <si>
    <t>LAF8666</t>
  </si>
  <si>
    <t>LAF8675</t>
  </si>
  <si>
    <t>LAF8688</t>
  </si>
  <si>
    <t>Obsolete - Superseded by LAF8731</t>
  </si>
  <si>
    <t>LAF8746</t>
  </si>
  <si>
    <t>Europe Only Radial Seal Outer air</t>
  </si>
  <si>
    <t>LAF8747</t>
  </si>
  <si>
    <t>Europe Only Radial Seal inner air</t>
  </si>
  <si>
    <t>LAF8748</t>
  </si>
  <si>
    <t>LAF8764</t>
  </si>
  <si>
    <t>LAF8775</t>
  </si>
  <si>
    <t>LAF8786</t>
  </si>
  <si>
    <t>LAF8802</t>
  </si>
  <si>
    <t>Finned Vane Air Filter With Attached Lid</t>
  </si>
  <si>
    <t>LAF8803</t>
  </si>
  <si>
    <t>LAF8809</t>
  </si>
  <si>
    <t>LAF8812</t>
  </si>
  <si>
    <t>LAF8814</t>
  </si>
  <si>
    <t>LAF8817</t>
  </si>
  <si>
    <t>LAF8818</t>
  </si>
  <si>
    <t>LAF8825</t>
  </si>
  <si>
    <t>LAF8827</t>
  </si>
  <si>
    <t>LAF8829</t>
  </si>
  <si>
    <t>LAF8830</t>
  </si>
  <si>
    <t>LAF8831</t>
  </si>
  <si>
    <t>LAF8832</t>
  </si>
  <si>
    <t>HD Round Finned Air with Attached Lid</t>
  </si>
  <si>
    <t>LAF8834</t>
  </si>
  <si>
    <t>Round Air Filter with Flanged Endcap</t>
  </si>
  <si>
    <t>LAF8840</t>
  </si>
  <si>
    <t>LAF8842</t>
  </si>
  <si>
    <t>Round Inner Air Filter</t>
  </si>
  <si>
    <t>LAF8844</t>
  </si>
  <si>
    <t>LAF8921</t>
  </si>
  <si>
    <t>LAF8970</t>
  </si>
  <si>
    <t>LAF8972</t>
  </si>
  <si>
    <t>LAF8977</t>
  </si>
  <si>
    <t>LAF8983</t>
  </si>
  <si>
    <t>LAF8984</t>
  </si>
  <si>
    <t>LAF8985</t>
  </si>
  <si>
    <t>LAF8987</t>
  </si>
  <si>
    <t>LAF8988</t>
  </si>
  <si>
    <t>LAF8990</t>
  </si>
  <si>
    <t>LAF8998</t>
  </si>
  <si>
    <t>LAF9538MXM</t>
  </si>
  <si>
    <t>LBR22147</t>
  </si>
  <si>
    <t>Mounting Band</t>
  </si>
  <si>
    <t>LCTK-C2</t>
  </si>
  <si>
    <t>LDFTK-IQ</t>
  </si>
  <si>
    <t>L-F DIESEL FUEL ANALYSIS KIT</t>
  </si>
  <si>
    <t>LFE9374</t>
  </si>
  <si>
    <t>LFF200</t>
  </si>
  <si>
    <t>LFF3293</t>
  </si>
  <si>
    <t>Bowl Style Fuel Water Separator</t>
  </si>
  <si>
    <t>Obsolete - Superseded by LFF3294</t>
  </si>
  <si>
    <t>LFF3676</t>
  </si>
  <si>
    <t>LFF3944</t>
  </si>
  <si>
    <t>LFF5982</t>
  </si>
  <si>
    <t>Spin-on Fuel Water Separator Filter</t>
  </si>
  <si>
    <t>LFF7284</t>
  </si>
  <si>
    <t>Cartridge Fuel/Water Separator Filter</t>
  </si>
  <si>
    <t>LFF8495</t>
  </si>
  <si>
    <t>LFF8927</t>
  </si>
  <si>
    <t>LFF905</t>
  </si>
  <si>
    <t>LFH4201</t>
  </si>
  <si>
    <t>Hydraulic Spin-on Filter</t>
  </si>
  <si>
    <t>LFH4224</t>
  </si>
  <si>
    <t>LFH4372</t>
  </si>
  <si>
    <t>LFH4447</t>
  </si>
  <si>
    <t>LFH4970</t>
  </si>
  <si>
    <t>LFH8108</t>
  </si>
  <si>
    <t>LFH8398</t>
  </si>
  <si>
    <t>LFH8409</t>
  </si>
  <si>
    <t>LFH8594</t>
  </si>
  <si>
    <t>LFH8835</t>
  </si>
  <si>
    <t>LFH8882</t>
  </si>
  <si>
    <t>LFP252F</t>
  </si>
  <si>
    <t>LFP3943</t>
  </si>
  <si>
    <t>LFP5015G</t>
  </si>
  <si>
    <t>LFP5375</t>
  </si>
  <si>
    <t>LFP5805</t>
  </si>
  <si>
    <t>LFP5825</t>
  </si>
  <si>
    <t>LFP8738</t>
  </si>
  <si>
    <t>Obsolete &amp; Superseded by LFP6007</t>
  </si>
  <si>
    <t>LFW4687</t>
  </si>
  <si>
    <t>Coolant Filter</t>
  </si>
  <si>
    <t>LH22074</t>
  </si>
  <si>
    <t>LH22121</t>
  </si>
  <si>
    <t>LH22127</t>
  </si>
  <si>
    <t>LH3878</t>
  </si>
  <si>
    <t>LH4226</t>
  </si>
  <si>
    <t>LH4227</t>
  </si>
  <si>
    <t>LH4235</t>
  </si>
  <si>
    <t>LH4240</t>
  </si>
  <si>
    <t>LH4253</t>
  </si>
  <si>
    <t>LH4259</t>
  </si>
  <si>
    <t>LH4396</t>
  </si>
  <si>
    <t>LH4462</t>
  </si>
  <si>
    <t>LH4476</t>
  </si>
  <si>
    <t>LH4480</t>
  </si>
  <si>
    <t>LH4578</t>
  </si>
  <si>
    <t>LH4853</t>
  </si>
  <si>
    <t>LH4986</t>
  </si>
  <si>
    <t>LH5000</t>
  </si>
  <si>
    <t>LUBER-FINER HYDRAULIC FILTER</t>
  </si>
  <si>
    <t>LH5374</t>
  </si>
  <si>
    <t>LH5970</t>
  </si>
  <si>
    <t>LH8521</t>
  </si>
  <si>
    <t>LH8546</t>
  </si>
  <si>
    <t>LH8754</t>
  </si>
  <si>
    <t>LH8788</t>
  </si>
  <si>
    <t>LH8883</t>
  </si>
  <si>
    <t>LH95011</t>
  </si>
  <si>
    <t>LH95024V</t>
  </si>
  <si>
    <t>LH95035V</t>
  </si>
  <si>
    <t>LH95046V</t>
  </si>
  <si>
    <t>LH95115V</t>
  </si>
  <si>
    <t>LH95117V</t>
  </si>
  <si>
    <t>LH95121</t>
  </si>
  <si>
    <t>LH95121V</t>
  </si>
  <si>
    <t>LH95152</t>
  </si>
  <si>
    <t>LH95610</t>
  </si>
  <si>
    <t>LH95850</t>
  </si>
  <si>
    <t>LH95920V</t>
  </si>
  <si>
    <t>LK110C</t>
  </si>
  <si>
    <t>Cummins Engine Maintenance Kit</t>
  </si>
  <si>
    <t>LK164D</t>
  </si>
  <si>
    <t>LK182C</t>
  </si>
  <si>
    <t>LK243C</t>
  </si>
  <si>
    <t>LK245C</t>
  </si>
  <si>
    <t>LK305GM</t>
  </si>
  <si>
    <t>General Motors Engine Maintenance Kit</t>
  </si>
  <si>
    <t>LK326DF</t>
  </si>
  <si>
    <t>LK327DF</t>
  </si>
  <si>
    <t>LK328DF</t>
  </si>
  <si>
    <t>Thermo King Engine Maintenance Kit</t>
  </si>
  <si>
    <t>LMB451</t>
  </si>
  <si>
    <t>Adaptor Base for LFP9750</t>
  </si>
  <si>
    <t xml:space="preserve">Mounting Base used w/PB50 B/P filter </t>
  </si>
  <si>
    <t>LP112</t>
  </si>
  <si>
    <t>LP146</t>
  </si>
  <si>
    <t>LP2296</t>
  </si>
  <si>
    <t>LP2328</t>
  </si>
  <si>
    <t>LP3361</t>
  </si>
  <si>
    <t>LP3365</t>
  </si>
  <si>
    <t>LP4413</t>
  </si>
  <si>
    <t>LP5043</t>
  </si>
  <si>
    <t>LP5563</t>
  </si>
  <si>
    <t>LP5901</t>
  </si>
  <si>
    <t>LP7319</t>
  </si>
  <si>
    <t>LP7330</t>
  </si>
  <si>
    <t>LP78</t>
  </si>
  <si>
    <t>LP8308</t>
  </si>
  <si>
    <t>LP8346</t>
  </si>
  <si>
    <t>LP8347</t>
  </si>
  <si>
    <t>LP8467</t>
  </si>
  <si>
    <t>LP8952</t>
  </si>
  <si>
    <t>LP92HD</t>
  </si>
  <si>
    <t>LWG4864</t>
  </si>
  <si>
    <t>LUBER-FINER GASKET</t>
  </si>
  <si>
    <t>P49</t>
  </si>
  <si>
    <t>P5609</t>
  </si>
  <si>
    <t>P823</t>
  </si>
  <si>
    <t>PC206</t>
  </si>
  <si>
    <t>PCV Valve</t>
  </si>
  <si>
    <t>Obsolete - Superceded by PC184</t>
  </si>
  <si>
    <t>PC88</t>
  </si>
  <si>
    <t>Obsolete - Superceded by PC54</t>
  </si>
  <si>
    <t>PH2852</t>
  </si>
  <si>
    <t>PH7014</t>
  </si>
  <si>
    <t>MC</t>
  </si>
  <si>
    <t>Suzuki Motorcycles (1985-87) (Suzuki 16510-05A00)</t>
  </si>
  <si>
    <t>T134</t>
  </si>
  <si>
    <t>Transmission Filter</t>
  </si>
  <si>
    <t>T645</t>
  </si>
  <si>
    <t>T717</t>
  </si>
  <si>
    <t>CAF24032</t>
  </si>
  <si>
    <t>Cabin Air Filter, Recirculating</t>
  </si>
  <si>
    <t>3685805C1</t>
  </si>
  <si>
    <t>HISTORICAL RECAP DECEMBER 2012 - MARCH 2019</t>
  </si>
  <si>
    <t>2008 -2019 Prostar and the 2017-19 LT625</t>
  </si>
  <si>
    <t>038568746306</t>
  </si>
  <si>
    <t>LAF7311</t>
  </si>
  <si>
    <t>Bobcat</t>
  </si>
  <si>
    <t>RS5747</t>
  </si>
  <si>
    <t>P628328</t>
  </si>
  <si>
    <t>AF27998</t>
  </si>
  <si>
    <t>WA10035</t>
  </si>
  <si>
    <t>LAF6155</t>
  </si>
  <si>
    <t xml:space="preserve">Blue Bird ; All Americian Bus  with 13 inch diameter air cleaner </t>
  </si>
  <si>
    <t>Blue Bird</t>
  </si>
  <si>
    <t>RS5756</t>
  </si>
  <si>
    <t>WA10167</t>
  </si>
  <si>
    <t>Clark Equipment; Bobcat 650 Skid Steer  Loaders w / Kubota V3307DI-7 (Tier III) Diesel Engine</t>
  </si>
  <si>
    <t>038568746146</t>
  </si>
  <si>
    <t>038568745767</t>
  </si>
  <si>
    <t>L9765FXL</t>
  </si>
  <si>
    <t>LAF4307</t>
  </si>
  <si>
    <t>LAF8353</t>
  </si>
  <si>
    <t>LAF3706</t>
  </si>
  <si>
    <t>LAF310</t>
  </si>
  <si>
    <t>LAF7413MXM</t>
  </si>
  <si>
    <t>LFF1005</t>
  </si>
  <si>
    <t>Changed to 6Pk carton from 1Pk</t>
  </si>
  <si>
    <t xml:space="preserve">Nano Tech Air Filter HD Metal-End </t>
  </si>
  <si>
    <t>LFH5721</t>
  </si>
  <si>
    <t>LP5902</t>
  </si>
  <si>
    <t>LFF3554</t>
  </si>
  <si>
    <t>LFH8499</t>
  </si>
  <si>
    <t>LH4266</t>
  </si>
  <si>
    <t>LAF8526</t>
  </si>
  <si>
    <t>LAF1723</t>
  </si>
  <si>
    <t>LAF5575</t>
  </si>
  <si>
    <t>LH8245</t>
  </si>
  <si>
    <t>LP815</t>
  </si>
  <si>
    <t>L8254F</t>
  </si>
  <si>
    <t>LAF3710</t>
  </si>
  <si>
    <t>LFP5971</t>
  </si>
  <si>
    <t>L2986F</t>
  </si>
  <si>
    <t>L3575F</t>
  </si>
  <si>
    <t>L4116F</t>
  </si>
  <si>
    <t>Sock Type Fuel Filter</t>
  </si>
  <si>
    <t>L5752F</t>
  </si>
  <si>
    <t>L663F</t>
  </si>
  <si>
    <t>LAF3931</t>
  </si>
  <si>
    <t>LAF4323</t>
  </si>
  <si>
    <t>LAF5519</t>
  </si>
  <si>
    <t>LAF5755</t>
  </si>
  <si>
    <t>LAF5785</t>
  </si>
  <si>
    <t>LAF5955</t>
  </si>
  <si>
    <t>LAF75</t>
  </si>
  <si>
    <t>LAF8078</t>
  </si>
  <si>
    <t>LAF8087</t>
  </si>
  <si>
    <t>Radial Seal Air</t>
  </si>
  <si>
    <t>LAF8088</t>
  </si>
  <si>
    <t>LAF8090</t>
  </si>
  <si>
    <t>LAF8361</t>
  </si>
  <si>
    <t>LAF8547</t>
  </si>
  <si>
    <t>LAF8589</t>
  </si>
  <si>
    <t>LAF8816</t>
  </si>
  <si>
    <t>LAF8828</t>
  </si>
  <si>
    <t>LAF8975</t>
  </si>
  <si>
    <t>LAF8980</t>
  </si>
  <si>
    <t>LAF9387</t>
  </si>
  <si>
    <t>LFF7686</t>
  </si>
  <si>
    <t>LFH8095</t>
  </si>
  <si>
    <t>LFP1524</t>
  </si>
  <si>
    <t>LH95024</t>
  </si>
  <si>
    <t>LH95027</t>
  </si>
  <si>
    <t>LH95035</t>
  </si>
  <si>
    <t>LH95058</t>
  </si>
  <si>
    <t>LH95063V</t>
  </si>
  <si>
    <t>LH95241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</si>
  <si>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</si>
  <si>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</si>
  <si>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</si>
  <si>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</si>
  <si>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</si>
  <si>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</si>
  <si>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</si>
  <si>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</si>
  <si>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</si>
  <si>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LH95304</t>
  </si>
  <si>
    <t>LH95305</t>
  </si>
  <si>
    <t>LH95314</t>
  </si>
  <si>
    <t>LH95316</t>
  </si>
  <si>
    <t>LH95332</t>
  </si>
  <si>
    <t>LH95341</t>
  </si>
  <si>
    <t>LH95345</t>
  </si>
  <si>
    <t>LH95361</t>
  </si>
  <si>
    <t>LH95394</t>
  </si>
  <si>
    <t>LH95690</t>
  </si>
  <si>
    <t>LH95996V</t>
  </si>
  <si>
    <t>LH95999V</t>
  </si>
  <si>
    <t>LP2218</t>
  </si>
  <si>
    <t>LP8334</t>
  </si>
  <si>
    <t>LP8554</t>
  </si>
  <si>
    <t>LP8912</t>
  </si>
  <si>
    <t>LP8941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</si>
</sst>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[$-409]mmmm\ d\,\ yyyy;@"/>
    <numFmt numFmtId="167" formatCode="[$-409]d\-mmm\-yy;@"/>
    <numFmt numFmtId="168" formatCode="000000000000"/>
    <numFmt numFmtId="169" formatCode="[$-409]d\-mmm\-yyyy;@"/>
  </numFmts>
  <fonts count="6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5"/>
      <name val="Arial"/>
      <family val="2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b/>
      <sz val="16"/>
      <color rgb="FFC00000"/>
      <name val="Arial"/>
      <family val="2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Verdana"/>
      <family val="2"/>
    </font>
    <font>
      <b/>
      <i/>
      <sz val="11"/>
      <color rgb="FF0070C0"/>
      <name val="Calibri"/>
      <family val="2"/>
      <scheme val="minor"/>
    </font>
    <font>
      <sz val="11"/>
      <color rgb="FF302E31"/>
      <name val="Calibri"/>
      <family val="2"/>
      <scheme val="minor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rgb="FF302E31"/>
      <name val="Calibri"/>
      <family val="2"/>
      <scheme val="minor"/>
    </font>
    <font>
      <i/>
      <sz val="12"/>
      <color rgb="FF302E31"/>
      <name val="Calibri"/>
      <family val="2"/>
      <scheme val="minor"/>
    </font>
    <font>
      <sz val="12"/>
      <color rgb="FF302E3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6F6F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5" fillId="0" borderId="0"/>
    <xf numFmtId="0" fontId="15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6" borderId="0" applyNumberFormat="0" applyBorder="0" applyAlignment="0" applyProtection="0"/>
  </cellStyleXfs>
  <cellXfs count="528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49" fontId="32" fillId="2" borderId="8" xfId="0" applyNumberFormat="1" applyFont="1" applyFill="1" applyBorder="1" applyAlignment="1">
      <alignment horizontal="center" vertical="center" wrapText="1"/>
    </xf>
    <xf numFmtId="49" fontId="32" fillId="2" borderId="0" xfId="0" applyNumberFormat="1" applyFont="1" applyFill="1" applyBorder="1" applyAlignment="1">
      <alignment horizontal="center" vertical="center" wrapText="1"/>
    </xf>
    <xf numFmtId="49" fontId="32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/>
    </xf>
    <xf numFmtId="2" fontId="16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left" vertical="center"/>
    </xf>
    <xf numFmtId="167" fontId="0" fillId="0" borderId="1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9" fontId="21" fillId="6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16" fillId="7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49" fontId="21" fillId="6" borderId="1" xfId="0" applyNumberFormat="1" applyFont="1" applyFill="1" applyBorder="1" applyAlignment="1"/>
    <xf numFmtId="0" fontId="25" fillId="13" borderId="11" xfId="0" applyNumberFormat="1" applyFont="1" applyFill="1" applyBorder="1" applyAlignment="1">
      <alignment horizontal="center" vertical="center"/>
    </xf>
    <xf numFmtId="0" fontId="36" fillId="13" borderId="11" xfId="0" applyNumberFormat="1" applyFont="1" applyFill="1" applyBorder="1" applyAlignment="1">
      <alignment horizontal="center" vertical="center"/>
    </xf>
    <xf numFmtId="0" fontId="37" fillId="13" borderId="11" xfId="0" applyNumberFormat="1" applyFont="1" applyFill="1" applyBorder="1" applyAlignment="1">
      <alignment horizontal="center" vertical="center"/>
    </xf>
    <xf numFmtId="49" fontId="38" fillId="13" borderId="11" xfId="0" applyNumberFormat="1" applyFont="1" applyFill="1" applyBorder="1" applyAlignment="1">
      <alignment horizontal="center" vertical="center" wrapText="1"/>
    </xf>
    <xf numFmtId="0" fontId="39" fillId="13" borderId="11" xfId="0" applyNumberFormat="1" applyFont="1" applyFill="1" applyBorder="1" applyAlignment="1">
      <alignment horizontal="center" vertical="center"/>
    </xf>
    <xf numFmtId="0" fontId="29" fillId="13" borderId="11" xfId="0" applyNumberFormat="1" applyFont="1" applyFill="1" applyBorder="1" applyAlignment="1">
      <alignment horizontal="center" vertical="center"/>
    </xf>
    <xf numFmtId="0" fontId="40" fillId="13" borderId="11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11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6" fillId="0" borderId="9" xfId="4" applyNumberFormat="1" applyFont="1" applyFill="1" applyBorder="1" applyAlignment="1">
      <alignment horizontal="left"/>
    </xf>
    <xf numFmtId="164" fontId="0" fillId="0" borderId="9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4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42" fillId="0" borderId="1" xfId="0" applyFont="1" applyBorder="1"/>
    <xf numFmtId="0" fontId="42" fillId="0" borderId="1" xfId="0" applyFont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/>
    </xf>
    <xf numFmtId="0" fontId="42" fillId="0" borderId="1" xfId="0" applyFont="1" applyFill="1" applyBorder="1" applyAlignment="1" applyProtection="1">
      <alignment horizontal="center" wrapText="1"/>
    </xf>
    <xf numFmtId="164" fontId="0" fillId="0" borderId="1" xfId="0" applyNumberFormat="1" applyFont="1" applyBorder="1" applyAlignment="1">
      <alignment horizontal="center"/>
    </xf>
    <xf numFmtId="49" fontId="43" fillId="0" borderId="1" xfId="0" applyNumberFormat="1" applyFont="1" applyBorder="1" applyAlignment="1">
      <alignment horizontal="center"/>
    </xf>
    <xf numFmtId="1" fontId="43" fillId="0" borderId="1" xfId="0" applyNumberFormat="1" applyFont="1" applyBorder="1" applyAlignment="1">
      <alignment horizontal="center"/>
    </xf>
    <xf numFmtId="165" fontId="0" fillId="11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5" fontId="0" fillId="0" borderId="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11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44" fillId="0" borderId="1" xfId="0" applyNumberFormat="1" applyFont="1" applyBorder="1" applyAlignment="1">
      <alignment horizontal="center" vertical="center"/>
    </xf>
    <xf numFmtId="1" fontId="44" fillId="0" borderId="1" xfId="0" applyNumberFormat="1" applyFont="1" applyBorder="1" applyAlignment="1">
      <alignment horizontal="center" vertical="center"/>
    </xf>
    <xf numFmtId="165" fontId="0" fillId="11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2" fillId="0" borderId="12" xfId="0" applyFont="1" applyFill="1" applyBorder="1" applyAlignment="1" applyProtection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45" fillId="0" borderId="12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1" fontId="43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165" fontId="0" fillId="7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 wrapText="1"/>
    </xf>
    <xf numFmtId="165" fontId="0" fillId="11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1" fontId="43" fillId="0" borderId="1" xfId="0" applyNumberFormat="1" applyFont="1" applyBorder="1" applyAlignment="1">
      <alignment horizontal="center" vertical="center"/>
    </xf>
    <xf numFmtId="165" fontId="0" fillId="11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68" fontId="47" fillId="0" borderId="1" xfId="2" applyNumberFormat="1" applyFont="1" applyBorder="1" applyAlignment="1">
      <alignment horizontal="center" vertical="center"/>
    </xf>
    <xf numFmtId="1" fontId="47" fillId="0" borderId="1" xfId="2" applyNumberFormat="1" applyFont="1" applyBorder="1" applyAlignment="1">
      <alignment horizontal="center" vertical="center"/>
    </xf>
    <xf numFmtId="0" fontId="48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 vertical="center" wrapText="1"/>
    </xf>
    <xf numFmtId="164" fontId="24" fillId="0" borderId="1" xfId="4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4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5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wrapText="1"/>
    </xf>
    <xf numFmtId="0" fontId="24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50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" fontId="5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/>
    </xf>
    <xf numFmtId="0" fontId="16" fillId="11" borderId="1" xfId="0" quotePrefix="1" applyFont="1" applyFill="1" applyBorder="1" applyAlignment="1">
      <alignment horizontal="center"/>
    </xf>
    <xf numFmtId="1" fontId="16" fillId="11" borderId="1" xfId="0" applyNumberFormat="1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/>
    </xf>
    <xf numFmtId="165" fontId="16" fillId="11" borderId="1" xfId="0" applyNumberFormat="1" applyFont="1" applyFill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 wrapText="1"/>
    </xf>
    <xf numFmtId="1" fontId="16" fillId="11" borderId="1" xfId="0" applyNumberFormat="1" applyFont="1" applyFill="1" applyBorder="1" applyAlignment="1">
      <alignment horizontal="center" vertical="center" wrapText="1"/>
    </xf>
    <xf numFmtId="165" fontId="16" fillId="11" borderId="1" xfId="0" quotePrefix="1" applyNumberFormat="1" applyFont="1" applyFill="1" applyBorder="1" applyAlignment="1">
      <alignment horizontal="center" vertical="center" wrapText="1"/>
    </xf>
    <xf numFmtId="0" fontId="16" fillId="11" borderId="1" xfId="0" quotePrefix="1" applyFont="1" applyFill="1" applyBorder="1" applyAlignment="1">
      <alignment horizontal="center" vertical="center"/>
    </xf>
    <xf numFmtId="164" fontId="0" fillId="0" borderId="1" xfId="4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53" fillId="0" borderId="1" xfId="0" applyNumberFormat="1" applyFont="1" applyBorder="1" applyAlignment="1">
      <alignment horizontal="center"/>
    </xf>
    <xf numFmtId="0" fontId="54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31" fillId="13" borderId="1" xfId="0" applyNumberFormat="1" applyFont="1" applyFill="1" applyBorder="1" applyAlignment="1">
      <alignment horizontal="center" vertical="center" wrapText="1"/>
    </xf>
    <xf numFmtId="0" fontId="31" fillId="0" borderId="5" xfId="0" applyNumberFormat="1" applyFont="1" applyFill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center" vertical="center"/>
    </xf>
    <xf numFmtId="0" fontId="31" fillId="0" borderId="7" xfId="0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164" fontId="0" fillId="0" borderId="1" xfId="4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2" fillId="15" borderId="1" xfId="0" applyFont="1" applyFill="1" applyBorder="1" applyAlignment="1" applyProtection="1">
      <alignment horizontal="center" vertical="center" wrapText="1"/>
    </xf>
    <xf numFmtId="0" fontId="16" fillId="14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65" fontId="24" fillId="11" borderId="1" xfId="5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 applyProtection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2" xfId="0" applyNumberForma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/>
    </xf>
    <xf numFmtId="0" fontId="0" fillId="0" borderId="12" xfId="0" quotePrefix="1" applyNumberFormat="1" applyFill="1" applyBorder="1" applyAlignment="1">
      <alignment horizontal="center" vertical="center"/>
    </xf>
    <xf numFmtId="1" fontId="0" fillId="0" borderId="12" xfId="0" quotePrefix="1" applyNumberFormat="1" applyFont="1" applyFill="1" applyBorder="1" applyAlignment="1">
      <alignment horizontal="center" vertical="center"/>
    </xf>
    <xf numFmtId="2" fontId="0" fillId="7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2" fontId="0" fillId="7" borderId="12" xfId="0" quotePrefix="1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3" fontId="0" fillId="0" borderId="1" xfId="3" applyNumberFormat="1" applyFont="1" applyBorder="1" applyAlignment="1">
      <alignment horizontal="center"/>
    </xf>
    <xf numFmtId="165" fontId="0" fillId="1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7" borderId="1" xfId="0" quotePrefix="1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center"/>
    </xf>
    <xf numFmtId="165" fontId="0" fillId="1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27" fillId="0" borderId="0" xfId="0" applyFon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164" fontId="0" fillId="0" borderId="1" xfId="3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49" fontId="44" fillId="0" borderId="1" xfId="0" quotePrefix="1" applyNumberFormat="1" applyFont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7" fillId="2" borderId="6" xfId="0" applyNumberFormat="1" applyFont="1" applyFill="1" applyBorder="1" applyAlignment="1">
      <alignment horizontal="center" vertical="center" textRotation="60"/>
    </xf>
    <xf numFmtId="0" fontId="57" fillId="2" borderId="6" xfId="0" applyNumberFormat="1" applyFont="1" applyFill="1" applyBorder="1" applyAlignment="1">
      <alignment horizontal="center" vertical="center" textRotation="67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24" fillId="0" borderId="1" xfId="3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0" fontId="56" fillId="0" borderId="3" xfId="0" applyFont="1" applyBorder="1" applyAlignment="1">
      <alignment horizontal="center"/>
    </xf>
    <xf numFmtId="0" fontId="56" fillId="0" borderId="2" xfId="0" applyFont="1" applyBorder="1" applyAlignment="1">
      <alignment horizontal="center" wrapText="1"/>
    </xf>
    <xf numFmtId="49" fontId="44" fillId="0" borderId="1" xfId="0" quotePrefix="1" applyNumberFormat="1" applyFont="1" applyBorder="1" applyAlignment="1">
      <alignment horizontal="center"/>
    </xf>
    <xf numFmtId="1" fontId="44" fillId="0" borderId="1" xfId="0" applyNumberFormat="1" applyFont="1" applyBorder="1" applyAlignment="1">
      <alignment horizontal="center"/>
    </xf>
    <xf numFmtId="165" fontId="0" fillId="11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6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3" fontId="56" fillId="0" borderId="1" xfId="0" applyNumberFormat="1" applyFont="1" applyBorder="1" applyAlignment="1">
      <alignment horizontal="center" wrapText="1"/>
    </xf>
    <xf numFmtId="0" fontId="30" fillId="12" borderId="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7" fillId="0" borderId="0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0" xfId="0" applyFont="1" applyFill="1" applyBorder="1"/>
    <xf numFmtId="0" fontId="0" fillId="0" borderId="1" xfId="0" applyBorder="1" applyAlignment="1">
      <alignment horizontal="left"/>
    </xf>
    <xf numFmtId="0" fontId="27" fillId="0" borderId="0" xfId="0" applyFont="1"/>
    <xf numFmtId="0" fontId="0" fillId="0" borderId="1" xfId="0" applyNumberFormat="1" applyFont="1" applyFill="1" applyBorder="1" applyAlignment="1">
      <alignment horizontal="left" vertical="center"/>
    </xf>
    <xf numFmtId="0" fontId="58" fillId="0" borderId="1" xfId="0" applyFont="1" applyBorder="1" applyAlignment="1">
      <alignment horizontal="center"/>
    </xf>
    <xf numFmtId="0" fontId="33" fillId="0" borderId="1" xfId="0" applyFont="1" applyFill="1" applyBorder="1" applyAlignment="1" applyProtection="1">
      <alignment horizontal="left" vertical="center" wrapText="1"/>
    </xf>
    <xf numFmtId="0" fontId="0" fillId="0" borderId="3" xfId="0" applyNumberForma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58" fillId="17" borderId="1" xfId="0" applyFont="1" applyFill="1" applyBorder="1" applyAlignment="1">
      <alignment horizontal="center" vertical="center" wrapText="1"/>
    </xf>
    <xf numFmtId="0" fontId="59" fillId="0" borderId="0" xfId="0" applyFont="1"/>
    <xf numFmtId="0" fontId="60" fillId="0" borderId="0" xfId="0" applyFont="1"/>
    <xf numFmtId="0" fontId="33" fillId="0" borderId="3" xfId="0" applyFont="1" applyFill="1" applyBorder="1" applyAlignment="1" applyProtection="1">
      <alignment horizontal="center" wrapText="1"/>
    </xf>
    <xf numFmtId="0" fontId="33" fillId="0" borderId="1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/>
    </xf>
    <xf numFmtId="0" fontId="60" fillId="0" borderId="0" xfId="0" applyNumberFormat="1" applyFont="1" applyFill="1" applyBorder="1" applyAlignment="1">
      <alignment horizontal="left" vertical="center"/>
    </xf>
    <xf numFmtId="0" fontId="27" fillId="0" borderId="10" xfId="0" applyFont="1" applyBorder="1"/>
    <xf numFmtId="0" fontId="42" fillId="0" borderId="1" xfId="0" applyFont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0" fillId="0" borderId="1" xfId="0" applyNumberFormat="1" applyFill="1" applyBorder="1" applyAlignment="1">
      <alignment horizontal="left" vertical="center"/>
    </xf>
    <xf numFmtId="0" fontId="62" fillId="0" borderId="0" xfId="0" applyFont="1"/>
    <xf numFmtId="0" fontId="27" fillId="0" borderId="0" xfId="0" applyFont="1" applyBorder="1"/>
    <xf numFmtId="169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/>
    </xf>
    <xf numFmtId="0" fontId="33" fillId="0" borderId="0" xfId="0" applyFont="1" applyFill="1" applyBorder="1" applyAlignment="1" applyProtection="1">
      <alignment horizontal="center" vertical="center" wrapText="1"/>
    </xf>
    <xf numFmtId="167" fontId="0" fillId="0" borderId="0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27" fillId="0" borderId="0" xfId="0" applyNumberFormat="1" applyFont="1" applyFill="1" applyBorder="1" applyAlignment="1">
      <alignment vertical="center"/>
    </xf>
    <xf numFmtId="0" fontId="27" fillId="0" borderId="0" xfId="0" applyFont="1" applyAlignment="1"/>
    <xf numFmtId="0" fontId="61" fillId="0" borderId="0" xfId="0" applyFont="1" applyAlignment="1"/>
    <xf numFmtId="0" fontId="27" fillId="0" borderId="0" xfId="0" applyFont="1" applyFill="1" applyBorder="1" applyAlignment="1"/>
    <xf numFmtId="0" fontId="0" fillId="0" borderId="1" xfId="0" applyFont="1" applyBorder="1" applyAlignment="1">
      <alignment horizontal="center"/>
    </xf>
    <xf numFmtId="8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27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/>
    </xf>
    <xf numFmtId="1" fontId="20" fillId="4" borderId="3" xfId="0" applyNumberFormat="1" applyFont="1" applyFill="1" applyBorder="1" applyAlignment="1">
      <alignment horizontal="left" vertical="center" wrapText="1"/>
    </xf>
    <xf numFmtId="1" fontId="20" fillId="4" borderId="4" xfId="0" applyNumberFormat="1" applyFont="1" applyFill="1" applyBorder="1" applyAlignment="1">
      <alignment horizontal="left" vertical="center" wrapText="1"/>
    </xf>
    <xf numFmtId="1" fontId="20" fillId="4" borderId="2" xfId="0" applyNumberFormat="1" applyFont="1" applyFill="1" applyBorder="1" applyAlignment="1">
      <alignment horizontal="left" vertical="center" wrapText="1"/>
    </xf>
    <xf numFmtId="165" fontId="18" fillId="4" borderId="3" xfId="0" applyNumberFormat="1" applyFont="1" applyFill="1" applyBorder="1" applyAlignment="1">
      <alignment horizontal="left" vertical="center" wrapText="1"/>
    </xf>
    <xf numFmtId="165" fontId="18" fillId="4" borderId="4" xfId="0" applyNumberFormat="1" applyFont="1" applyFill="1" applyBorder="1" applyAlignment="1">
      <alignment horizontal="left" vertical="center" wrapText="1"/>
    </xf>
    <xf numFmtId="165" fontId="18" fillId="4" borderId="2" xfId="0" applyNumberFormat="1" applyFont="1" applyFill="1" applyBorder="1" applyAlignment="1">
      <alignment horizontal="left" vertical="center" wrapText="1"/>
    </xf>
    <xf numFmtId="165" fontId="19" fillId="5" borderId="3" xfId="0" applyNumberFormat="1" applyFont="1" applyFill="1" applyBorder="1" applyAlignment="1">
      <alignment horizontal="left" vertical="center" wrapText="1"/>
    </xf>
    <xf numFmtId="165" fontId="19" fillId="5" borderId="4" xfId="0" applyNumberFormat="1" applyFont="1" applyFill="1" applyBorder="1" applyAlignment="1">
      <alignment horizontal="left" vertical="center" wrapText="1"/>
    </xf>
    <xf numFmtId="165" fontId="19" fillId="5" borderId="2" xfId="0" applyNumberFormat="1" applyFont="1" applyFill="1" applyBorder="1" applyAlignment="1">
      <alignment horizontal="left" vertical="center" wrapText="1"/>
    </xf>
    <xf numFmtId="0" fontId="30" fillId="12" borderId="1" xfId="0" applyNumberFormat="1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4" xfId="0" applyNumberFormat="1" applyFont="1" applyFill="1" applyBorder="1" applyAlignment="1">
      <alignment horizontal="left" vertical="center"/>
    </xf>
    <xf numFmtId="0" fontId="5" fillId="9" borderId="3" xfId="0" applyNumberFormat="1" applyFont="1" applyFill="1" applyBorder="1" applyAlignment="1">
      <alignment horizontal="left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vertical="center" wrapText="1"/>
    </xf>
    <xf numFmtId="49" fontId="23" fillId="10" borderId="1" xfId="0" applyNumberFormat="1" applyFont="1" applyFill="1" applyBorder="1" applyAlignment="1">
      <alignment horizontal="left" vertic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18" fillId="4" borderId="1" xfId="0" applyNumberFormat="1" applyFont="1" applyFill="1" applyBorder="1" applyAlignment="1">
      <alignment horizontal="left" vertical="center" wrapText="1"/>
    </xf>
    <xf numFmtId="165" fontId="19" fillId="5" borderId="1" xfId="0" applyNumberFormat="1" applyFont="1" applyFill="1" applyBorder="1" applyAlignment="1">
      <alignment horizontal="left" vertical="center" wrapText="1"/>
    </xf>
    <xf numFmtId="165" fontId="16" fillId="11" borderId="3" xfId="0" quotePrefix="1" applyNumberFormat="1" applyFont="1" applyFill="1" applyBorder="1" applyAlignment="1">
      <alignment horizontal="center" vertical="center" wrapText="1"/>
    </xf>
    <xf numFmtId="165" fontId="16" fillId="11" borderId="4" xfId="0" quotePrefix="1" applyNumberFormat="1" applyFont="1" applyFill="1" applyBorder="1" applyAlignment="1">
      <alignment horizontal="center" vertical="center" wrapText="1"/>
    </xf>
    <xf numFmtId="165" fontId="16" fillId="11" borderId="2" xfId="0" quotePrefix="1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165" fontId="55" fillId="0" borderId="3" xfId="0" applyNumberFormat="1" applyFont="1" applyFill="1" applyBorder="1" applyAlignment="1">
      <alignment horizontal="center" vertical="center"/>
    </xf>
    <xf numFmtId="165" fontId="55" fillId="0" borderId="4" xfId="0" applyNumberFormat="1" applyFont="1" applyFill="1" applyBorder="1" applyAlignment="1">
      <alignment horizontal="center" vertical="center"/>
    </xf>
    <xf numFmtId="165" fontId="55" fillId="0" borderId="2" xfId="0" applyNumberFormat="1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23" fillId="10" borderId="3" xfId="0" applyNumberFormat="1" applyFont="1" applyFill="1" applyBorder="1" applyAlignment="1">
      <alignment horizontal="left" vertical="center" wrapText="1"/>
    </xf>
    <xf numFmtId="49" fontId="23" fillId="10" borderId="4" xfId="0" applyNumberFormat="1" applyFont="1" applyFill="1" applyBorder="1" applyAlignment="1">
      <alignment horizontal="left" vertical="center" wrapText="1"/>
    </xf>
    <xf numFmtId="49" fontId="23" fillId="10" borderId="2" xfId="0" applyNumberFormat="1" applyFont="1" applyFill="1" applyBorder="1" applyAlignment="1">
      <alignment horizontal="left" vertical="center" wrapText="1"/>
    </xf>
    <xf numFmtId="0" fontId="55" fillId="0" borderId="3" xfId="0" applyNumberFormat="1" applyFont="1" applyFill="1" applyBorder="1" applyAlignment="1">
      <alignment horizontal="center"/>
    </xf>
    <xf numFmtId="0" fontId="55" fillId="0" borderId="4" xfId="0" applyNumberFormat="1" applyFont="1" applyFill="1" applyBorder="1" applyAlignment="1">
      <alignment horizontal="center"/>
    </xf>
    <xf numFmtId="0" fontId="55" fillId="0" borderId="2" xfId="0" applyNumberFormat="1" applyFont="1" applyFill="1" applyBorder="1" applyAlignment="1">
      <alignment horizontal="center"/>
    </xf>
    <xf numFmtId="0" fontId="55" fillId="0" borderId="5" xfId="0" applyNumberFormat="1" applyFont="1" applyFill="1" applyBorder="1" applyAlignment="1">
      <alignment horizontal="center" vertical="center"/>
    </xf>
    <xf numFmtId="0" fontId="55" fillId="0" borderId="6" xfId="0" applyNumberFormat="1" applyFont="1" applyFill="1" applyBorder="1" applyAlignment="1">
      <alignment horizontal="center" vertical="center"/>
    </xf>
    <xf numFmtId="0" fontId="55" fillId="0" borderId="7" xfId="0" applyNumberFormat="1" applyFont="1" applyFill="1" applyBorder="1" applyAlignment="1">
      <alignment horizontal="center" vertical="center"/>
    </xf>
    <xf numFmtId="0" fontId="55" fillId="0" borderId="3" xfId="0" applyNumberFormat="1" applyFont="1" applyFill="1" applyBorder="1" applyAlignment="1">
      <alignment horizontal="center" vertical="center"/>
    </xf>
    <xf numFmtId="0" fontId="55" fillId="0" borderId="4" xfId="0" applyNumberFormat="1" applyFont="1" applyFill="1" applyBorder="1" applyAlignment="1">
      <alignment horizontal="center" vertical="center"/>
    </xf>
    <xf numFmtId="0" fontId="55" fillId="0" borderId="2" xfId="0" applyNumberFormat="1" applyFont="1" applyFill="1" applyBorder="1" applyAlignment="1">
      <alignment horizontal="center" vertical="center"/>
    </xf>
    <xf numFmtId="165" fontId="55" fillId="0" borderId="3" xfId="0" applyNumberFormat="1" applyFont="1" applyFill="1" applyBorder="1" applyAlignment="1">
      <alignment horizontal="center"/>
    </xf>
    <xf numFmtId="165" fontId="55" fillId="0" borderId="4" xfId="0" applyNumberFormat="1" applyFont="1" applyFill="1" applyBorder="1" applyAlignment="1">
      <alignment horizontal="center"/>
    </xf>
    <xf numFmtId="165" fontId="55" fillId="0" borderId="2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</cellXfs>
  <cellStyles count="6">
    <cellStyle name="20% - Accent1 10 11" xfId="5" xr:uid="{00000000-0005-0000-0000-000000000000}"/>
    <cellStyle name="Currency" xfId="4" builtinId="4"/>
    <cellStyle name="Normal" xfId="0" builtinId="0"/>
    <cellStyle name="Normal 3" xfId="1" xr:uid="{00000000-0005-0000-0000-000003000000}"/>
    <cellStyle name="Normal 9" xfId="2" xr:uid="{00000000-0005-0000-0000-000004000000}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357621</xdr:colOff>
      <xdr:row>2</xdr:row>
      <xdr:rowOff>122555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3</xdr:col>
      <xdr:colOff>142875</xdr:colOff>
      <xdr:row>2</xdr:row>
      <xdr:rowOff>17780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EFEE0E2B-674F-4364-A6C4-F257234E2A7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c2774/Documents/Activity%20Pop%20Codes%20&amp;%20Percent%20Sales/Original%20Master%202018%20Luberfiner%20Pop%20Code%20Update%201-1-18-rev_10-24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c2774/Documents/Pricing/2018%20Pricing/Jan%201%202018%20HD%20Master%20US%20Price%20Adjustment%20Analysis%20Workfile-rev2.5.1_Volume%20upda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-F Filters"/>
      <sheetName val="Water Pumps"/>
      <sheetName val="OBS"/>
    </sheetNames>
    <sheetDataSet>
      <sheetData sheetId="0">
        <row r="14">
          <cell r="G14" t="str">
            <v>LFP2160</v>
          </cell>
          <cell r="H14" t="str">
            <v>Spin-on Oil Filter</v>
          </cell>
        </row>
        <row r="15">
          <cell r="G15" t="str">
            <v>PH47</v>
          </cell>
          <cell r="H15" t="str">
            <v>Spin-on Oil Filter</v>
          </cell>
        </row>
        <row r="16">
          <cell r="G16" t="str">
            <v>PH48</v>
          </cell>
          <cell r="H16" t="str">
            <v>Spin-on Oil Filter</v>
          </cell>
        </row>
        <row r="17">
          <cell r="G17" t="str">
            <v>L3578FN</v>
          </cell>
          <cell r="H17" t="str">
            <v>Cartridge Fuel Water Separator Coalescer filter</v>
          </cell>
        </row>
        <row r="18">
          <cell r="G18" t="str">
            <v>AF785</v>
          </cell>
          <cell r="H18" t="str">
            <v>Round Air Filter</v>
          </cell>
        </row>
        <row r="19">
          <cell r="G19" t="str">
            <v>LFP9001</v>
          </cell>
          <cell r="H19" t="str">
            <v>Spin-on Oil Filter</v>
          </cell>
        </row>
        <row r="20">
          <cell r="G20" t="str">
            <v>LFP3191</v>
          </cell>
          <cell r="H20" t="str">
            <v>Spin-on Oil Filter</v>
          </cell>
        </row>
        <row r="21">
          <cell r="G21" t="str">
            <v>PH1218</v>
          </cell>
          <cell r="H21" t="str">
            <v>Spin-on Oil Filter</v>
          </cell>
        </row>
        <row r="22">
          <cell r="G22" t="str">
            <v>LFP4005</v>
          </cell>
          <cell r="H22" t="str">
            <v>Spin-on Oil Filter</v>
          </cell>
        </row>
        <row r="23">
          <cell r="G23" t="str">
            <v>LFF1000</v>
          </cell>
          <cell r="H23" t="str">
            <v>Spin-on Fuel Filter</v>
          </cell>
        </row>
        <row r="24">
          <cell r="G24" t="str">
            <v>LFP3970</v>
          </cell>
          <cell r="H24" t="str">
            <v>Spin-on Oil Filter</v>
          </cell>
        </row>
        <row r="25">
          <cell r="G25" t="str">
            <v>LFP816FN</v>
          </cell>
          <cell r="H25" t="str">
            <v>Secondary spin-on fuel filter</v>
          </cell>
        </row>
        <row r="26">
          <cell r="G26" t="str">
            <v>LFP3000G</v>
          </cell>
          <cell r="H26" t="str">
            <v>Extended Life Spin-on Oil Filter</v>
          </cell>
        </row>
        <row r="27">
          <cell r="G27" t="str">
            <v>LAF1849</v>
          </cell>
          <cell r="H27" t="str">
            <v>Radial Seal Air Filter (Primary) Filter</v>
          </cell>
        </row>
        <row r="28">
          <cell r="G28" t="str">
            <v>LFF2749</v>
          </cell>
          <cell r="H28" t="str">
            <v>HD Spin-on Fuel Filter</v>
          </cell>
        </row>
        <row r="29">
          <cell r="G29" t="str">
            <v>LFP8642</v>
          </cell>
          <cell r="H29" t="str">
            <v>Spin-on By-Pass Oil Filter</v>
          </cell>
        </row>
        <row r="30">
          <cell r="G30" t="str">
            <v>LFP3000</v>
          </cell>
          <cell r="H30" t="str">
            <v>Spin-on Oil Filter</v>
          </cell>
        </row>
        <row r="31">
          <cell r="G31" t="str">
            <v>LFF8059</v>
          </cell>
          <cell r="H31" t="str">
            <v>Spin-on Fuel Filter</v>
          </cell>
        </row>
        <row r="32">
          <cell r="G32" t="str">
            <v>LFP815FN</v>
          </cell>
          <cell r="H32" t="str">
            <v>Primary Spin-on Fuel Filter</v>
          </cell>
        </row>
        <row r="33">
          <cell r="G33" t="str">
            <v>LFF2201</v>
          </cell>
          <cell r="H33" t="str">
            <v>Spin-on Fuel Filter</v>
          </cell>
        </row>
        <row r="34">
          <cell r="G34" t="str">
            <v>LFF5</v>
          </cell>
          <cell r="H34" t="str">
            <v>Spin-on Fuel Filter</v>
          </cell>
        </row>
        <row r="35">
          <cell r="G35" t="str">
            <v>G481</v>
          </cell>
          <cell r="H35" t="str">
            <v>In-Line Fuel Filter</v>
          </cell>
        </row>
        <row r="36">
          <cell r="G36" t="str">
            <v>LFH8737</v>
          </cell>
          <cell r="H36" t="str">
            <v>Spin-on Transmission (Hydraulic) Filter</v>
          </cell>
        </row>
        <row r="37">
          <cell r="G37" t="str">
            <v>LFF5823B</v>
          </cell>
          <cell r="H37" t="str">
            <v>Spin-on Fuel Filter</v>
          </cell>
        </row>
        <row r="38">
          <cell r="G38" t="str">
            <v>LFW4071</v>
          </cell>
          <cell r="H38" t="str">
            <v>Spin-on Coolant Filter</v>
          </cell>
        </row>
        <row r="39">
          <cell r="G39" t="str">
            <v>PH820</v>
          </cell>
          <cell r="H39" t="str">
            <v>Spin-on Oil Filter</v>
          </cell>
        </row>
        <row r="40">
          <cell r="G40" t="str">
            <v>LFF6776</v>
          </cell>
          <cell r="H40" t="str">
            <v>Spin-on Fuel Filter</v>
          </cell>
        </row>
        <row r="41">
          <cell r="G41" t="str">
            <v>LFP3236</v>
          </cell>
          <cell r="H41" t="str">
            <v>Spin-on Oil Filter</v>
          </cell>
        </row>
        <row r="42">
          <cell r="G42" t="str">
            <v>P3244</v>
          </cell>
          <cell r="H42" t="str">
            <v>Cartridge Oil Filter</v>
          </cell>
        </row>
        <row r="43">
          <cell r="G43" t="str">
            <v>LP5090</v>
          </cell>
          <cell r="H43" t="str">
            <v>Cartridge Oil Filter</v>
          </cell>
        </row>
        <row r="44">
          <cell r="G44" t="str">
            <v>CAF24003</v>
          </cell>
          <cell r="H44" t="str">
            <v>Cabin Air Filter</v>
          </cell>
        </row>
        <row r="45">
          <cell r="G45" t="str">
            <v>L5467F</v>
          </cell>
          <cell r="H45" t="str">
            <v>Cartridge Fuel Filter</v>
          </cell>
        </row>
        <row r="46">
          <cell r="G46" t="str">
            <v>LAF3551</v>
          </cell>
          <cell r="H46" t="str">
            <v>HD Round Air Filter with Attached Lid</v>
          </cell>
        </row>
        <row r="47">
          <cell r="G47" t="str">
            <v>LFP440F</v>
          </cell>
          <cell r="H47" t="str">
            <v>Spin-on Fuel Filter</v>
          </cell>
        </row>
        <row r="48">
          <cell r="G48" t="str">
            <v>PH8A</v>
          </cell>
          <cell r="H48" t="str">
            <v>Spin-on Oil Filter</v>
          </cell>
        </row>
        <row r="49">
          <cell r="G49" t="str">
            <v>L9915F</v>
          </cell>
          <cell r="H49" t="str">
            <v>Cartridge Fuel Water Separator Coalescer filter</v>
          </cell>
        </row>
        <row r="50">
          <cell r="G50" t="str">
            <v>PH253</v>
          </cell>
          <cell r="H50" t="str">
            <v>Spin-on Oil Filter</v>
          </cell>
        </row>
        <row r="51">
          <cell r="G51" t="str">
            <v>LFP2286</v>
          </cell>
          <cell r="H51" t="str">
            <v>Spin-on Oil Filter</v>
          </cell>
        </row>
        <row r="52">
          <cell r="G52" t="str">
            <v>LAF1878</v>
          </cell>
          <cell r="H52" t="str">
            <v>Radial Seal Air Filter (Primary) Filter</v>
          </cell>
        </row>
        <row r="53">
          <cell r="G53" t="str">
            <v>LFP780</v>
          </cell>
          <cell r="H53" t="str">
            <v>Spin-on Oil Filter</v>
          </cell>
        </row>
        <row r="54">
          <cell r="G54" t="str">
            <v>LFF2203</v>
          </cell>
          <cell r="H54" t="str">
            <v>Spin-on Fuel Filter</v>
          </cell>
        </row>
        <row r="55">
          <cell r="G55" t="str">
            <v>L9765FXL</v>
          </cell>
          <cell r="H55" t="str">
            <v>Extended Life Cartridge Fuel Water Separator Filter</v>
          </cell>
        </row>
        <row r="56">
          <cell r="G56" t="str">
            <v>PH2835</v>
          </cell>
          <cell r="H56" t="str">
            <v>Spin-on Oil Filter</v>
          </cell>
        </row>
        <row r="57">
          <cell r="G57" t="str">
            <v>LFF8020</v>
          </cell>
          <cell r="H57" t="str">
            <v>Spin-on Fuel Water Separator Filter</v>
          </cell>
        </row>
        <row r="58">
          <cell r="G58" t="str">
            <v>LFF5488</v>
          </cell>
          <cell r="H58" t="str">
            <v>Spin-on Fuel Filter</v>
          </cell>
        </row>
        <row r="59">
          <cell r="G59">
            <v>920021</v>
          </cell>
          <cell r="H59" t="str">
            <v>Lubercool II Pint Bottle</v>
          </cell>
        </row>
        <row r="60">
          <cell r="G60" t="str">
            <v>LFP3236TRT</v>
          </cell>
          <cell r="H60" t="str">
            <v>Spin-on Oil Filter</v>
          </cell>
        </row>
        <row r="61">
          <cell r="G61" t="str">
            <v>LAF6260</v>
          </cell>
          <cell r="H61" t="str">
            <v>Corrugated Media Air Filter</v>
          </cell>
        </row>
        <row r="62">
          <cell r="G62" t="str">
            <v>AF925</v>
          </cell>
          <cell r="H62" t="str">
            <v>Round Air Filter</v>
          </cell>
        </row>
        <row r="63">
          <cell r="G63" t="str">
            <v>LFP9025</v>
          </cell>
          <cell r="H63" t="str">
            <v>Spin-on Oil Filter</v>
          </cell>
        </row>
        <row r="64">
          <cell r="G64" t="str">
            <v>L5091F</v>
          </cell>
          <cell r="H64" t="str">
            <v>Fuel Filter Kit Primary/Secondary</v>
          </cell>
        </row>
        <row r="65">
          <cell r="G65" t="str">
            <v>L5467FNXL</v>
          </cell>
          <cell r="H65" t="str">
            <v>Extended life Cartridge fuel filter</v>
          </cell>
        </row>
        <row r="66">
          <cell r="G66" t="str">
            <v>L9763FXL</v>
          </cell>
          <cell r="H66" t="str">
            <v>Extended Life Cartridge Fuel Water Separator Filter</v>
          </cell>
        </row>
        <row r="67">
          <cell r="G67" t="str">
            <v>CAF24000</v>
          </cell>
          <cell r="H67" t="str">
            <v>Cabin Air Filter</v>
          </cell>
        </row>
        <row r="68">
          <cell r="G68" t="str">
            <v>LFP1652</v>
          </cell>
          <cell r="H68" t="str">
            <v>Spin-on Hydraulic Filter</v>
          </cell>
        </row>
        <row r="69">
          <cell r="G69" t="str">
            <v>LAF6663</v>
          </cell>
          <cell r="H69" t="str">
            <v>Radial Seal Outer Air Filter</v>
          </cell>
        </row>
        <row r="70">
          <cell r="G70" t="str">
            <v>L5104F</v>
          </cell>
          <cell r="H70" t="str">
            <v>Fuel Filter Kit Primary/Secondary</v>
          </cell>
        </row>
        <row r="71">
          <cell r="G71" t="str">
            <v>LFF3521</v>
          </cell>
          <cell r="H71" t="str">
            <v>Spin-on Fuel Filter</v>
          </cell>
        </row>
        <row r="72">
          <cell r="G72" t="str">
            <v>L9729F</v>
          </cell>
          <cell r="H72" t="str">
            <v>Cartridge Fuel Water Separator Filter</v>
          </cell>
        </row>
        <row r="73">
          <cell r="G73" t="str">
            <v>PH2808</v>
          </cell>
          <cell r="H73" t="str">
            <v>Spin-on Oil Filter</v>
          </cell>
        </row>
        <row r="74">
          <cell r="G74" t="str">
            <v>LFP2285</v>
          </cell>
          <cell r="H74" t="str">
            <v>Spin-on Oil Filter</v>
          </cell>
        </row>
        <row r="75">
          <cell r="G75" t="str">
            <v>LFF4783</v>
          </cell>
          <cell r="H75" t="str">
            <v>Spin-on Fuel Filter</v>
          </cell>
        </row>
        <row r="76">
          <cell r="G76" t="str">
            <v>LFF5632</v>
          </cell>
          <cell r="H76" t="str">
            <v>Spin-on Fuel Filter</v>
          </cell>
        </row>
        <row r="77">
          <cell r="G77" t="str">
            <v>LAF9201</v>
          </cell>
          <cell r="H77" t="str">
            <v>Radial Seal Outer Air Filter</v>
          </cell>
        </row>
        <row r="78">
          <cell r="G78" t="str">
            <v>LAF4816</v>
          </cell>
          <cell r="H78" t="str">
            <v>Radial Seal Air Filter (Primary) Filter</v>
          </cell>
        </row>
        <row r="79">
          <cell r="G79" t="str">
            <v>LAF5114MXM</v>
          </cell>
          <cell r="H79" t="str">
            <v>Nano Tech Radial Seal Air Filter</v>
          </cell>
        </row>
        <row r="80">
          <cell r="G80" t="str">
            <v>AF1658</v>
          </cell>
          <cell r="H80" t="str">
            <v>Flexible Panel Air Filter</v>
          </cell>
        </row>
        <row r="81">
          <cell r="G81" t="str">
            <v>LFP670</v>
          </cell>
          <cell r="H81" t="str">
            <v>Spin-on Oil Filter</v>
          </cell>
        </row>
        <row r="82">
          <cell r="G82" t="str">
            <v>CAF24005</v>
          </cell>
          <cell r="H82" t="str">
            <v>Cabin Air Filter</v>
          </cell>
        </row>
        <row r="83">
          <cell r="G83" t="str">
            <v>LFP3191TRT</v>
          </cell>
          <cell r="H83" t="str">
            <v>Spin-on Oil Filter</v>
          </cell>
        </row>
        <row r="84">
          <cell r="G84" t="str">
            <v>LFF1003</v>
          </cell>
          <cell r="H84" t="str">
            <v>Spin-on Fuel Filter</v>
          </cell>
        </row>
        <row r="85">
          <cell r="G85" t="str">
            <v>LFF3358</v>
          </cell>
          <cell r="H85" t="str">
            <v>Spin-on Fuel Filter</v>
          </cell>
        </row>
        <row r="86">
          <cell r="G86" t="str">
            <v>PH59</v>
          </cell>
          <cell r="H86" t="str">
            <v>Spin-on Oil Filter</v>
          </cell>
        </row>
        <row r="87">
          <cell r="G87" t="str">
            <v>LAF9099</v>
          </cell>
          <cell r="H87" t="str">
            <v>Radial Seal Outer Air Filter</v>
          </cell>
        </row>
        <row r="88">
          <cell r="G88" t="str">
            <v>PH51A</v>
          </cell>
          <cell r="H88" t="str">
            <v>Spin-on Oil Filter</v>
          </cell>
        </row>
        <row r="89">
          <cell r="G89" t="str">
            <v>L5086F</v>
          </cell>
          <cell r="H89" t="str">
            <v>Cartridge Fuel Water Separator Coalescer filter</v>
          </cell>
        </row>
        <row r="90">
          <cell r="G90" t="str">
            <v>PH500</v>
          </cell>
          <cell r="H90" t="str">
            <v>Spin-on Oil Filter</v>
          </cell>
        </row>
        <row r="91">
          <cell r="G91" t="str">
            <v>L7694F</v>
          </cell>
          <cell r="H91" t="str">
            <v>Cartridge Fuel Filter</v>
          </cell>
        </row>
        <row r="92">
          <cell r="G92" t="str">
            <v>AF1236</v>
          </cell>
          <cell r="H92" t="str">
            <v>Flexible Panel Air Filter</v>
          </cell>
        </row>
        <row r="93">
          <cell r="G93" t="str">
            <v>LFF3349</v>
          </cell>
          <cell r="H93" t="str">
            <v>Spin-on Fuel Filter</v>
          </cell>
        </row>
        <row r="94">
          <cell r="G94" t="str">
            <v>LP8213</v>
          </cell>
          <cell r="H94" t="str">
            <v>Cartridge By-Pass Oil Filter</v>
          </cell>
        </row>
        <row r="95">
          <cell r="G95" t="str">
            <v>LFW2127</v>
          </cell>
          <cell r="H95" t="str">
            <v>Extended Life Spin-on Coolant Filter</v>
          </cell>
        </row>
        <row r="96">
          <cell r="G96" t="str">
            <v>LP5048</v>
          </cell>
          <cell r="H96" t="str">
            <v>Cartridge Oil Filter</v>
          </cell>
        </row>
        <row r="97">
          <cell r="G97" t="str">
            <v>LAF8837</v>
          </cell>
          <cell r="H97" t="str">
            <v>Flexible Panel Air Filter</v>
          </cell>
        </row>
        <row r="98">
          <cell r="G98" t="str">
            <v>LFF1065</v>
          </cell>
          <cell r="H98" t="str">
            <v>Spin-on Fuel Water Separator Filter</v>
          </cell>
        </row>
        <row r="99">
          <cell r="G99" t="str">
            <v>L5094F</v>
          </cell>
          <cell r="H99" t="str">
            <v>Cartridge Fuel Water Separator Filter</v>
          </cell>
        </row>
        <row r="100">
          <cell r="G100" t="str">
            <v>LP7498XL</v>
          </cell>
          <cell r="H100" t="str">
            <v>Extended Life Cartridge Oil Filter</v>
          </cell>
        </row>
        <row r="101">
          <cell r="G101" t="str">
            <v>CAF1815P</v>
          </cell>
          <cell r="H101" t="str">
            <v>Cabin Air Filter</v>
          </cell>
        </row>
        <row r="102">
          <cell r="G102" t="str">
            <v>LFP9000</v>
          </cell>
          <cell r="H102" t="str">
            <v>Spin-on Oil Filter</v>
          </cell>
        </row>
        <row r="103">
          <cell r="G103" t="str">
            <v>LFW4685</v>
          </cell>
          <cell r="H103" t="str">
            <v>Spin-on Coolant Filter</v>
          </cell>
        </row>
        <row r="104">
          <cell r="G104" t="str">
            <v>LFF1224</v>
          </cell>
          <cell r="H104" t="str">
            <v>Spin-on Fuel Filter</v>
          </cell>
        </row>
        <row r="105">
          <cell r="G105" t="str">
            <v>LFW4074</v>
          </cell>
          <cell r="H105" t="str">
            <v>Spin-on Coolant Filter</v>
          </cell>
        </row>
        <row r="106">
          <cell r="G106" t="str">
            <v>LP2017</v>
          </cell>
          <cell r="H106" t="str">
            <v>Cartridge Oil Filter</v>
          </cell>
        </row>
        <row r="107">
          <cell r="G107" t="str">
            <v>L8994F</v>
          </cell>
          <cell r="H107" t="str">
            <v>Cartridge Fuel Filter</v>
          </cell>
        </row>
        <row r="108">
          <cell r="G108" t="str">
            <v>LAF3233</v>
          </cell>
          <cell r="H108" t="str">
            <v>Corrugated Media Air Filter</v>
          </cell>
        </row>
        <row r="109">
          <cell r="G109" t="str">
            <v>LFP777B</v>
          </cell>
          <cell r="H109" t="str">
            <v>Spin-on By-Pass Oil Filter</v>
          </cell>
        </row>
        <row r="110">
          <cell r="G110" t="str">
            <v>LAF3302</v>
          </cell>
          <cell r="H110" t="str">
            <v>Radial Seal Air Filter (Primary) Filter</v>
          </cell>
        </row>
        <row r="111">
          <cell r="G111" t="str">
            <v>LFH4984</v>
          </cell>
          <cell r="H111" t="str">
            <v>Spin-on Power Steering (Hydraulic) Filter</v>
          </cell>
        </row>
        <row r="112">
          <cell r="G112" t="str">
            <v>LFF4470</v>
          </cell>
          <cell r="H112" t="str">
            <v>Primary Spin-on Fuel Filter</v>
          </cell>
        </row>
        <row r="113">
          <cell r="G113" t="str">
            <v>LFP2999R</v>
          </cell>
          <cell r="H113" t="str">
            <v>Spin-on Oil Filter</v>
          </cell>
        </row>
        <row r="114">
          <cell r="G114" t="str">
            <v>LFP4005RN</v>
          </cell>
          <cell r="H114" t="str">
            <v>Spin-on Oil Filter</v>
          </cell>
        </row>
        <row r="115">
          <cell r="G115" t="str">
            <v>LAF2100</v>
          </cell>
          <cell r="H115" t="str">
            <v>Cone Shaped Conical Air Filter</v>
          </cell>
        </row>
        <row r="116">
          <cell r="G116" t="str">
            <v>LAF8388</v>
          </cell>
          <cell r="H116" t="str">
            <v>Radial Seal Outer Air Filter</v>
          </cell>
        </row>
        <row r="117">
          <cell r="G117" t="str">
            <v>LFP9001TRT</v>
          </cell>
          <cell r="H117" t="str">
            <v>Spin-on Oil Filter</v>
          </cell>
        </row>
        <row r="118">
          <cell r="G118" t="str">
            <v>PH2903</v>
          </cell>
          <cell r="H118" t="str">
            <v>Spin-on Oil Filter</v>
          </cell>
        </row>
        <row r="119">
          <cell r="G119" t="str">
            <v>LP6043</v>
          </cell>
          <cell r="H119" t="str">
            <v>Cartridge Oil Filter</v>
          </cell>
        </row>
        <row r="120">
          <cell r="G120" t="str">
            <v>LFP6035</v>
          </cell>
          <cell r="H120" t="str">
            <v>Spin-on Oil Filter</v>
          </cell>
        </row>
        <row r="121">
          <cell r="G121" t="str">
            <v>P1009</v>
          </cell>
          <cell r="H121" t="str">
            <v>Cartridge Oil Filter</v>
          </cell>
        </row>
        <row r="122">
          <cell r="G122" t="str">
            <v>L9684F</v>
          </cell>
          <cell r="H122" t="str">
            <v>Cartridge Fuel Water Separator Filter</v>
          </cell>
        </row>
        <row r="123">
          <cell r="G123" t="str">
            <v>LP8700</v>
          </cell>
          <cell r="H123" t="str">
            <v>Cartridge Oil Filter</v>
          </cell>
        </row>
        <row r="124">
          <cell r="G124" t="str">
            <v>PH2827</v>
          </cell>
          <cell r="H124" t="str">
            <v>Spin-on Oil Filter</v>
          </cell>
        </row>
        <row r="125">
          <cell r="G125" t="str">
            <v>L2020FN</v>
          </cell>
          <cell r="H125" t="str">
            <v>Cartridge Fuel Water Separator Filter</v>
          </cell>
        </row>
        <row r="126">
          <cell r="G126" t="str">
            <v>LAF9545</v>
          </cell>
          <cell r="H126" t="str">
            <v>HD Metal-End Air Filter</v>
          </cell>
        </row>
        <row r="127">
          <cell r="G127" t="str">
            <v>LFF3520</v>
          </cell>
          <cell r="H127" t="str">
            <v>Fuel Dispensing Filter</v>
          </cell>
        </row>
        <row r="128">
          <cell r="G128" t="str">
            <v>CAF24015</v>
          </cell>
          <cell r="H128" t="str">
            <v>Cabin Air Filter</v>
          </cell>
        </row>
        <row r="129">
          <cell r="G129" t="str">
            <v>LFP2051</v>
          </cell>
          <cell r="H129" t="str">
            <v>Spin-on Oil Filter</v>
          </cell>
        </row>
        <row r="130">
          <cell r="G130" t="str">
            <v>LFF8957</v>
          </cell>
          <cell r="H130" t="str">
            <v>Bowl Style Fuel Water Separator Filter</v>
          </cell>
        </row>
        <row r="131">
          <cell r="G131" t="str">
            <v>LFP5964</v>
          </cell>
          <cell r="H131" t="str">
            <v>Spin-on Oil Filter</v>
          </cell>
        </row>
        <row r="132">
          <cell r="G132" t="str">
            <v>PH454</v>
          </cell>
          <cell r="H132" t="str">
            <v>Spin-on Oil Filter</v>
          </cell>
        </row>
        <row r="133">
          <cell r="G133" t="str">
            <v>LFF8064</v>
          </cell>
          <cell r="H133" t="str">
            <v>Spin-on Fuel Filter</v>
          </cell>
        </row>
        <row r="134">
          <cell r="G134" t="str">
            <v>LFP780G</v>
          </cell>
          <cell r="H134" t="str">
            <v>Extended Life Spin-on Oil Filter</v>
          </cell>
        </row>
        <row r="135">
          <cell r="G135" t="str">
            <v>LFF5485</v>
          </cell>
          <cell r="H135" t="str">
            <v>Spin-on Fuel Filter</v>
          </cell>
        </row>
        <row r="136">
          <cell r="G136" t="str">
            <v>L3578FXL</v>
          </cell>
          <cell r="H136" t="str">
            <v>Extended Life Cartridge Fuel Water Separator Coalescer filter</v>
          </cell>
        </row>
        <row r="137">
          <cell r="G137" t="str">
            <v>LFH4209</v>
          </cell>
          <cell r="H137" t="str">
            <v>Spin-on Hydraulic Filter</v>
          </cell>
        </row>
        <row r="138">
          <cell r="G138" t="str">
            <v>LFP219F</v>
          </cell>
          <cell r="H138" t="str">
            <v>Spin-on Fuel Filter</v>
          </cell>
        </row>
        <row r="139">
          <cell r="G139" t="str">
            <v>CAF24003XL</v>
          </cell>
          <cell r="H139" t="str">
            <v>Cabin Air Filter (Carbon) Extreme Clean</v>
          </cell>
        </row>
        <row r="140">
          <cell r="G140" t="str">
            <v>LFF6012</v>
          </cell>
          <cell r="H140" t="str">
            <v>Spin-on Fuel Filter</v>
          </cell>
        </row>
        <row r="141">
          <cell r="G141" t="str">
            <v>CAF24016</v>
          </cell>
          <cell r="H141" t="str">
            <v>Cabin Air Filter</v>
          </cell>
        </row>
        <row r="142">
          <cell r="G142" t="str">
            <v>LFF1223</v>
          </cell>
          <cell r="H142" t="str">
            <v>Spin-on Fuel Filter</v>
          </cell>
        </row>
        <row r="143">
          <cell r="G143" t="str">
            <v>LFF9342</v>
          </cell>
          <cell r="H143" t="str">
            <v>Spin-on Fuel Water Separator Filter</v>
          </cell>
        </row>
        <row r="144">
          <cell r="G144" t="str">
            <v>LFP9182</v>
          </cell>
          <cell r="H144" t="str">
            <v>Spin-on Oil Filter</v>
          </cell>
        </row>
        <row r="145">
          <cell r="G145" t="str">
            <v>LFW2126</v>
          </cell>
          <cell r="H145" t="str">
            <v>Spin-on Coolant Filter</v>
          </cell>
        </row>
        <row r="146">
          <cell r="G146" t="str">
            <v>PH2867</v>
          </cell>
          <cell r="H146" t="str">
            <v>Spin-on Oil Filter</v>
          </cell>
        </row>
        <row r="147">
          <cell r="G147" t="str">
            <v>LFF4471</v>
          </cell>
          <cell r="H147" t="str">
            <v>Secondary spin-on fuel filter</v>
          </cell>
        </row>
        <row r="148">
          <cell r="G148" t="str">
            <v>LAF6116</v>
          </cell>
          <cell r="H148" t="str">
            <v>Corrugated Media Air Filter</v>
          </cell>
        </row>
        <row r="149">
          <cell r="G149" t="str">
            <v>LFF5851</v>
          </cell>
          <cell r="H149" t="str">
            <v>Bowl Style Fuel Water Separator Filter</v>
          </cell>
        </row>
        <row r="150">
          <cell r="G150" t="str">
            <v>LFF5686</v>
          </cell>
          <cell r="H150" t="str">
            <v>Spin-on Fuel Filter</v>
          </cell>
        </row>
        <row r="151">
          <cell r="G151" t="str">
            <v>LFP2160TRT</v>
          </cell>
          <cell r="H151" t="str">
            <v>Spin-on Oil Filter</v>
          </cell>
        </row>
        <row r="152">
          <cell r="G152" t="str">
            <v>LP7485</v>
          </cell>
          <cell r="H152" t="str">
            <v>Centrifugal Cartridge Oil Filter</v>
          </cell>
        </row>
        <row r="153">
          <cell r="G153" t="str">
            <v>LW4076XL</v>
          </cell>
          <cell r="H153" t="str">
            <v>Extended Life Cartridge Coolant Filter</v>
          </cell>
        </row>
        <row r="154">
          <cell r="G154" t="str">
            <v>LFP8654</v>
          </cell>
          <cell r="H154" t="str">
            <v>Brake Dryer Air Filter</v>
          </cell>
        </row>
        <row r="155">
          <cell r="G155" t="str">
            <v>LFF9342SC</v>
          </cell>
          <cell r="H155" t="str">
            <v>Spin-on Fuel Water Separator Filter</v>
          </cell>
        </row>
        <row r="156">
          <cell r="G156" t="str">
            <v>LFF5421</v>
          </cell>
          <cell r="H156" t="str">
            <v>Spin-on Fuel Filter</v>
          </cell>
        </row>
        <row r="157">
          <cell r="G157" t="str">
            <v>LAF9544</v>
          </cell>
          <cell r="H157" t="str">
            <v>HD Metal-End Air Filter</v>
          </cell>
        </row>
        <row r="158">
          <cell r="G158" t="str">
            <v>LFW2055</v>
          </cell>
          <cell r="H158" t="str">
            <v>Spin-on Coolant Filter</v>
          </cell>
        </row>
        <row r="159">
          <cell r="G159" t="str">
            <v>LAF5873</v>
          </cell>
          <cell r="H159" t="str">
            <v>Radial Seal Outer Air Filter</v>
          </cell>
        </row>
        <row r="160">
          <cell r="G160" t="str">
            <v>LAF2536</v>
          </cell>
          <cell r="H160" t="str">
            <v>Radial Seal Outer Air Filter</v>
          </cell>
        </row>
        <row r="161">
          <cell r="G161" t="str">
            <v>LP8741</v>
          </cell>
          <cell r="H161" t="str">
            <v>Cartridge Oil Filter</v>
          </cell>
        </row>
        <row r="162">
          <cell r="G162" t="str">
            <v>LFF8062</v>
          </cell>
          <cell r="H162" t="str">
            <v>Spin-on Fuel Water Separator Filter</v>
          </cell>
        </row>
        <row r="163">
          <cell r="G163" t="str">
            <v>LFF5766</v>
          </cell>
          <cell r="H163" t="str">
            <v>Spin-on Fuel Filter</v>
          </cell>
        </row>
        <row r="164">
          <cell r="G164" t="str">
            <v>LFP4836</v>
          </cell>
          <cell r="H164" t="str">
            <v>Spin-on Oil Filter</v>
          </cell>
        </row>
        <row r="165">
          <cell r="G165" t="str">
            <v>L4596F</v>
          </cell>
          <cell r="H165" t="str">
            <v>Cartridge Fuel Water Separator Filter</v>
          </cell>
        </row>
        <row r="166">
          <cell r="G166" t="str">
            <v>LH4582G</v>
          </cell>
          <cell r="H166" t="str">
            <v>Cartridge Transmission (Hydraulic) Filter</v>
          </cell>
        </row>
        <row r="167">
          <cell r="G167" t="str">
            <v>LFF3476</v>
          </cell>
          <cell r="H167" t="str">
            <v>Spin-on Secondary Fuel Filter</v>
          </cell>
        </row>
        <row r="168">
          <cell r="G168" t="str">
            <v>L1261F</v>
          </cell>
          <cell r="H168" t="str">
            <v>Cartridge Fuel Water Separator Coalescer filter</v>
          </cell>
        </row>
        <row r="169">
          <cell r="G169" t="str">
            <v>LFF8030</v>
          </cell>
          <cell r="H169" t="str">
            <v>Spin-on Fuel Water Separator Filter</v>
          </cell>
        </row>
        <row r="170">
          <cell r="G170" t="str">
            <v>L296F</v>
          </cell>
          <cell r="H170" t="str">
            <v>Cartridge Fuel Filter</v>
          </cell>
        </row>
        <row r="171">
          <cell r="G171" t="str">
            <v>LAF4544</v>
          </cell>
          <cell r="H171" t="str">
            <v>Radial Seal Outer Air Filter</v>
          </cell>
        </row>
        <row r="172">
          <cell r="G172" t="str">
            <v>LFP449</v>
          </cell>
          <cell r="H172" t="str">
            <v>Spin-on Hydraulic Filter</v>
          </cell>
        </row>
        <row r="173">
          <cell r="G173" t="str">
            <v>LAF5962</v>
          </cell>
          <cell r="H173" t="str">
            <v>Radial Seal Outer Air Filter</v>
          </cell>
        </row>
        <row r="174">
          <cell r="G174" t="str">
            <v>AF2883</v>
          </cell>
          <cell r="H174" t="str">
            <v>Flexible Panel Air Filter</v>
          </cell>
        </row>
        <row r="175">
          <cell r="G175" t="str">
            <v>LAF4348</v>
          </cell>
          <cell r="H175" t="str">
            <v>Special Configuration Air Filter</v>
          </cell>
        </row>
        <row r="176">
          <cell r="G176" t="str">
            <v>LAF4498</v>
          </cell>
          <cell r="H176" t="str">
            <v>Radial Seal Outer Air Filter</v>
          </cell>
        </row>
        <row r="177">
          <cell r="G177" t="str">
            <v>CAF24015XL</v>
          </cell>
          <cell r="H177" t="str">
            <v>Cabin Air Filter (Carbon) Extreme Clean</v>
          </cell>
        </row>
        <row r="178">
          <cell r="G178" t="str">
            <v>PH2840</v>
          </cell>
          <cell r="H178" t="str">
            <v>Spin-on Oil Filter</v>
          </cell>
        </row>
        <row r="179">
          <cell r="G179" t="str">
            <v>L4615F</v>
          </cell>
          <cell r="H179" t="str">
            <v>Fuel Filter Kit Primary/Secondary</v>
          </cell>
        </row>
        <row r="180">
          <cell r="G180" t="str">
            <v>LAF9396</v>
          </cell>
          <cell r="H180" t="str">
            <v>Cone Shaped Conical Air Filter</v>
          </cell>
        </row>
        <row r="181">
          <cell r="G181" t="str">
            <v>LFW4744</v>
          </cell>
          <cell r="H181" t="str">
            <v>Spin-on Coolant Filter</v>
          </cell>
        </row>
        <row r="182">
          <cell r="G182" t="str">
            <v>LFF1225</v>
          </cell>
          <cell r="H182" t="str">
            <v>Spin-on Fuel Filter</v>
          </cell>
        </row>
        <row r="183">
          <cell r="G183" t="str">
            <v>LFW5141</v>
          </cell>
          <cell r="H183" t="str">
            <v>Spin-on Coolant Filter</v>
          </cell>
        </row>
        <row r="184">
          <cell r="G184" t="str">
            <v>LFF8063</v>
          </cell>
          <cell r="H184" t="str">
            <v>Bowl Style Fuel Water Separator Filter</v>
          </cell>
        </row>
        <row r="185">
          <cell r="G185" t="str">
            <v>LAF8195</v>
          </cell>
          <cell r="H185" t="str">
            <v>Radial Seal Outer Air Filter</v>
          </cell>
        </row>
        <row r="186">
          <cell r="G186" t="str">
            <v>LFF5849</v>
          </cell>
          <cell r="H186" t="str">
            <v>Bowl Style Fuel Water Separator Filter</v>
          </cell>
        </row>
        <row r="187">
          <cell r="G187" t="str">
            <v>L8701F</v>
          </cell>
          <cell r="H187" t="str">
            <v>Cartridge Fuel Filter</v>
          </cell>
        </row>
        <row r="188">
          <cell r="G188" t="str">
            <v>LFP2190</v>
          </cell>
          <cell r="H188" t="str">
            <v>Spin-on Oil Filter</v>
          </cell>
        </row>
        <row r="189">
          <cell r="G189" t="str">
            <v>PH44</v>
          </cell>
          <cell r="H189" t="str">
            <v>Spin-on Oil Filter</v>
          </cell>
        </row>
        <row r="190">
          <cell r="G190" t="str">
            <v>LFF3417</v>
          </cell>
          <cell r="H190" t="str">
            <v>Spin-on Fuel Water Separator Filter</v>
          </cell>
        </row>
        <row r="191">
          <cell r="G191" t="str">
            <v>LFP3191G</v>
          </cell>
          <cell r="H191" t="str">
            <v>Extended Life Spin-on Oil Filter</v>
          </cell>
        </row>
        <row r="192">
          <cell r="G192" t="str">
            <v>G115</v>
          </cell>
          <cell r="H192" t="str">
            <v>In-Line Fuel Filter</v>
          </cell>
        </row>
        <row r="193">
          <cell r="G193" t="str">
            <v>LFP431F</v>
          </cell>
          <cell r="H193" t="str">
            <v>Spin-on Fuel Filter</v>
          </cell>
        </row>
        <row r="194">
          <cell r="G194" t="str">
            <v>AF1615</v>
          </cell>
          <cell r="H194" t="str">
            <v>Cone-Shaped, Conical Air Filter</v>
          </cell>
        </row>
        <row r="195">
          <cell r="G195" t="str">
            <v>LFF4783RD</v>
          </cell>
          <cell r="H195" t="str">
            <v>Spin-on Fuel Filter</v>
          </cell>
        </row>
        <row r="196">
          <cell r="G196" t="str">
            <v>LP3985</v>
          </cell>
          <cell r="H196" t="str">
            <v>Centrifugal Cartridge Oil Filter</v>
          </cell>
        </row>
        <row r="197">
          <cell r="G197" t="str">
            <v>LFW4860</v>
          </cell>
          <cell r="H197" t="str">
            <v>Spin-on Coolant Filter</v>
          </cell>
        </row>
        <row r="198">
          <cell r="G198" t="str">
            <v>LFP911</v>
          </cell>
          <cell r="H198" t="str">
            <v>Spin-on Oil Filter</v>
          </cell>
        </row>
        <row r="199">
          <cell r="G199" t="str">
            <v>FP941F</v>
          </cell>
          <cell r="H199" t="str">
            <v>Spin-on Fuel Water Separator Filter</v>
          </cell>
        </row>
        <row r="200">
          <cell r="G200" t="str">
            <v>LFF9732</v>
          </cell>
          <cell r="H200" t="str">
            <v>Fuel/Water Separator Spin-on Filter</v>
          </cell>
        </row>
        <row r="201">
          <cell r="G201" t="str">
            <v>L4595F</v>
          </cell>
          <cell r="H201" t="str">
            <v>Cartridge Fuel Water Separator Filter</v>
          </cell>
        </row>
        <row r="202">
          <cell r="G202" t="str">
            <v>FP953F</v>
          </cell>
          <cell r="H202" t="str">
            <v>Diesel In-Line Fuel Filter</v>
          </cell>
        </row>
        <row r="203">
          <cell r="G203" t="str">
            <v>LAF6902</v>
          </cell>
          <cell r="H203" t="str">
            <v>Flexible Panel Air Filter</v>
          </cell>
        </row>
        <row r="204">
          <cell r="G204" t="str">
            <v>LFP5570</v>
          </cell>
          <cell r="H204" t="str">
            <v>Spin-on Oil Filter</v>
          </cell>
        </row>
        <row r="205">
          <cell r="G205" t="str">
            <v>PH561</v>
          </cell>
          <cell r="H205" t="str">
            <v>Spin-on Oil Filter</v>
          </cell>
        </row>
        <row r="206">
          <cell r="G206" t="str">
            <v>LFF3347</v>
          </cell>
          <cell r="H206" t="str">
            <v>Spin-on Fuel Filter</v>
          </cell>
        </row>
        <row r="207">
          <cell r="G207" t="str">
            <v>LFF8010</v>
          </cell>
          <cell r="H207" t="str">
            <v>Spin-on Fuel Water Separator Filter</v>
          </cell>
        </row>
        <row r="208">
          <cell r="G208" t="str">
            <v>LAF5722</v>
          </cell>
          <cell r="H208" t="str">
            <v>Radial Seal Outer Air Filter</v>
          </cell>
        </row>
        <row r="209">
          <cell r="G209" t="str">
            <v>CAF24004</v>
          </cell>
          <cell r="H209" t="str">
            <v>Cabin Air Filter</v>
          </cell>
        </row>
        <row r="210">
          <cell r="G210" t="str">
            <v>LFF1022</v>
          </cell>
          <cell r="H210" t="str">
            <v>Spin-on Fuel Filter</v>
          </cell>
        </row>
        <row r="211">
          <cell r="G211" t="str">
            <v>LFF202</v>
          </cell>
          <cell r="H211" t="str">
            <v>Spin-on Fuel Filter</v>
          </cell>
        </row>
        <row r="212">
          <cell r="G212" t="str">
            <v>LFW4686XL</v>
          </cell>
          <cell r="H212" t="str">
            <v>Extended Life Spin-on Coolant Filter</v>
          </cell>
        </row>
        <row r="213">
          <cell r="G213" t="str">
            <v>LFF6289</v>
          </cell>
          <cell r="H213" t="str">
            <v>Spin-on Fuel Filter</v>
          </cell>
        </row>
        <row r="214">
          <cell r="G214" t="str">
            <v>LFW4073</v>
          </cell>
          <cell r="H214" t="str">
            <v>Spin-on Coolant Filter</v>
          </cell>
        </row>
        <row r="215">
          <cell r="G215" t="str">
            <v>LP2232</v>
          </cell>
          <cell r="H215" t="str">
            <v>Centrifugal Cartridge Oil Filter</v>
          </cell>
        </row>
        <row r="216">
          <cell r="G216" t="str">
            <v>LFF5850</v>
          </cell>
          <cell r="H216" t="str">
            <v>Bowl Style Fuel Water Separator Filter</v>
          </cell>
        </row>
        <row r="217">
          <cell r="G217" t="str">
            <v>G3/8</v>
          </cell>
          <cell r="H217" t="str">
            <v>In-Line Fuel Filter</v>
          </cell>
        </row>
        <row r="218">
          <cell r="G218" t="str">
            <v>LFP2292</v>
          </cell>
          <cell r="H218" t="str">
            <v>Spin-on Oil Filter</v>
          </cell>
        </row>
        <row r="219">
          <cell r="G219" t="str">
            <v>LFF1007</v>
          </cell>
          <cell r="H219" t="str">
            <v>Spin-on Fuel Filter</v>
          </cell>
        </row>
        <row r="220">
          <cell r="G220" t="str">
            <v>FP586F</v>
          </cell>
          <cell r="H220" t="str">
            <v>Spin-on Fuel Filter</v>
          </cell>
        </row>
        <row r="221">
          <cell r="G221" t="str">
            <v>FP588F</v>
          </cell>
          <cell r="H221" t="str">
            <v>Spin-on Fuel Filter</v>
          </cell>
        </row>
        <row r="222">
          <cell r="G222" t="str">
            <v>LFP6015</v>
          </cell>
          <cell r="H222" t="str">
            <v>Spin-on Oil Filter</v>
          </cell>
        </row>
        <row r="223">
          <cell r="G223" t="str">
            <v>LAF2608</v>
          </cell>
          <cell r="H223" t="str">
            <v>Metal-End Air Filter with Closed Top End Cap</v>
          </cell>
        </row>
        <row r="224">
          <cell r="G224" t="str">
            <v>AF3984</v>
          </cell>
          <cell r="H224" t="str">
            <v>Rigid Panel Air Filter</v>
          </cell>
        </row>
        <row r="225">
          <cell r="G225" t="str">
            <v>HP1</v>
          </cell>
          <cell r="H225" t="str">
            <v>High Performance Spin-on Oil Filter</v>
          </cell>
        </row>
        <row r="226">
          <cell r="G226" t="str">
            <v>LAF695</v>
          </cell>
          <cell r="H226" t="str">
            <v>HD Round Air Filter with Attached Lid</v>
          </cell>
        </row>
        <row r="227">
          <cell r="G227" t="str">
            <v>PH2814</v>
          </cell>
          <cell r="H227" t="str">
            <v>Spin-on Oil Filter</v>
          </cell>
        </row>
        <row r="228">
          <cell r="G228" t="str">
            <v>LAF1953</v>
          </cell>
          <cell r="H228" t="str">
            <v>Radial Seal Outer Air Filter</v>
          </cell>
        </row>
        <row r="229">
          <cell r="G229" t="str">
            <v>LFP5757</v>
          </cell>
          <cell r="H229" t="str">
            <v>Spin-on Oil Filter</v>
          </cell>
        </row>
        <row r="230">
          <cell r="G230" t="str">
            <v>LAF1934</v>
          </cell>
          <cell r="H230" t="str">
            <v>Disposible Housing Air Filter</v>
          </cell>
        </row>
        <row r="231">
          <cell r="G231" t="str">
            <v>L6806F</v>
          </cell>
          <cell r="H231" t="str">
            <v>Cartridge Fuel Filter</v>
          </cell>
        </row>
        <row r="232">
          <cell r="G232" t="str">
            <v>LH8504</v>
          </cell>
          <cell r="H232" t="str">
            <v>Cartridge Power Steering (Hydraulic) Filter</v>
          </cell>
        </row>
        <row r="233">
          <cell r="G233" t="str">
            <v>LAF1899</v>
          </cell>
          <cell r="H233" t="str">
            <v>Cone Shaped Conical Air Filter</v>
          </cell>
        </row>
        <row r="234">
          <cell r="G234" t="str">
            <v>LFP3900</v>
          </cell>
          <cell r="H234" t="str">
            <v>Spin-on Oil Filter</v>
          </cell>
        </row>
        <row r="235">
          <cell r="G235" t="str">
            <v>LFW5141XL</v>
          </cell>
          <cell r="H235" t="str">
            <v>Extended Life Spin-on Coolant Filter</v>
          </cell>
        </row>
        <row r="236">
          <cell r="G236" t="str">
            <v>FP570F</v>
          </cell>
          <cell r="H236" t="str">
            <v>Spin-on Fuel Filter</v>
          </cell>
        </row>
        <row r="237">
          <cell r="G237" t="str">
            <v>LK364M</v>
          </cell>
          <cell r="H237" t="str">
            <v>Mack Engine Maintenance Kit</v>
          </cell>
        </row>
        <row r="238">
          <cell r="G238" t="str">
            <v>PH299</v>
          </cell>
          <cell r="H238" t="str">
            <v>Spin-on Oil Filter</v>
          </cell>
        </row>
        <row r="239">
          <cell r="G239" t="str">
            <v>LAF3930</v>
          </cell>
          <cell r="H239" t="str">
            <v>Radial Seal Outer Air Filter</v>
          </cell>
        </row>
        <row r="240">
          <cell r="G240" t="str">
            <v>LFF5849U</v>
          </cell>
          <cell r="H240" t="str">
            <v>Bowless Style Fuel Water Separator Filter</v>
          </cell>
        </row>
        <row r="241">
          <cell r="G241" t="str">
            <v>G5/16</v>
          </cell>
          <cell r="H241" t="str">
            <v>In-Line Fuel Filter</v>
          </cell>
        </row>
        <row r="242">
          <cell r="G242" t="str">
            <v>CAF24014</v>
          </cell>
          <cell r="H242" t="str">
            <v>Cabin Air Filter</v>
          </cell>
        </row>
        <row r="243">
          <cell r="G243" t="str">
            <v>LAF7797</v>
          </cell>
          <cell r="H243" t="str">
            <v>Metal-End Air Filter with Closed Top End Cap</v>
          </cell>
        </row>
        <row r="244">
          <cell r="G244" t="str">
            <v>LFH4955</v>
          </cell>
          <cell r="H244" t="str">
            <v>Spin-on Hydraulic Filter</v>
          </cell>
        </row>
        <row r="245">
          <cell r="G245" t="str">
            <v>PH3656</v>
          </cell>
          <cell r="H245" t="str">
            <v>Spin-on Oil Filter</v>
          </cell>
        </row>
        <row r="246">
          <cell r="G246" t="str">
            <v>FP20</v>
          </cell>
          <cell r="H246" t="str">
            <v>Spin-on Oil Filter</v>
          </cell>
        </row>
        <row r="247">
          <cell r="G247" t="str">
            <v>LFW5142XL</v>
          </cell>
          <cell r="H247" t="str">
            <v>Extended Life Spin-on Coolant Filter</v>
          </cell>
        </row>
        <row r="248">
          <cell r="G248" t="str">
            <v>FP587F</v>
          </cell>
          <cell r="H248" t="str">
            <v>Spin-on Fuel Filter</v>
          </cell>
        </row>
        <row r="249">
          <cell r="G249" t="str">
            <v>LFP6027</v>
          </cell>
          <cell r="H249" t="str">
            <v>Spin-on Oil Filter</v>
          </cell>
        </row>
        <row r="250">
          <cell r="G250" t="str">
            <v>FP590F</v>
          </cell>
          <cell r="H250" t="str">
            <v>Spin-on Fuel Filter</v>
          </cell>
        </row>
        <row r="251">
          <cell r="G251" t="str">
            <v>LAF4545</v>
          </cell>
          <cell r="H251" t="str">
            <v>Radial Seal Inner Air Filter</v>
          </cell>
        </row>
        <row r="252">
          <cell r="G252" t="str">
            <v>LFP784</v>
          </cell>
          <cell r="H252" t="str">
            <v>Spin-on Oil Filter</v>
          </cell>
        </row>
        <row r="253">
          <cell r="G253" t="str">
            <v>PH725</v>
          </cell>
          <cell r="H253" t="str">
            <v>Spin-on Oil Filter</v>
          </cell>
        </row>
        <row r="254">
          <cell r="G254" t="str">
            <v>LAF8494</v>
          </cell>
          <cell r="H254" t="str">
            <v>Metal-End Air Filter with Closed Top End Cap</v>
          </cell>
        </row>
        <row r="255">
          <cell r="G255" t="str">
            <v>LAF8751</v>
          </cell>
          <cell r="H255" t="str">
            <v>Disposible Housing Air Filter</v>
          </cell>
        </row>
        <row r="256">
          <cell r="G256" t="str">
            <v>FF2D</v>
          </cell>
          <cell r="H256" t="str">
            <v>Fuel Dispensing Filter</v>
          </cell>
        </row>
        <row r="257">
          <cell r="G257" t="str">
            <v>LFP6007</v>
          </cell>
          <cell r="H257" t="str">
            <v>Spin-on Oil Filter</v>
          </cell>
        </row>
        <row r="258">
          <cell r="G258" t="str">
            <v>LFF8215</v>
          </cell>
          <cell r="H258" t="str">
            <v>Snap-lock Fuel/Water Separator Filter</v>
          </cell>
        </row>
        <row r="259">
          <cell r="G259" t="str">
            <v>LAF8669</v>
          </cell>
          <cell r="H259" t="str">
            <v>Radial Seal Outer Air Filter</v>
          </cell>
        </row>
        <row r="260">
          <cell r="G260" t="str">
            <v>LFF7660</v>
          </cell>
          <cell r="H260" t="str">
            <v>Spin-on Fuel Water Separator Filter</v>
          </cell>
        </row>
        <row r="261">
          <cell r="G261" t="str">
            <v>LFP2268</v>
          </cell>
          <cell r="H261" t="str">
            <v>Spin-on Oil Filter</v>
          </cell>
        </row>
        <row r="262">
          <cell r="G262" t="str">
            <v>LFF8000</v>
          </cell>
          <cell r="H262" t="str">
            <v>Spin-on Fuel Water Separator Filter</v>
          </cell>
        </row>
        <row r="263">
          <cell r="G263" t="str">
            <v>LP2247</v>
          </cell>
          <cell r="H263" t="str">
            <v>Cartridge Oil Filter</v>
          </cell>
        </row>
        <row r="264">
          <cell r="G264" t="str">
            <v>LFH4990</v>
          </cell>
          <cell r="H264" t="str">
            <v>Spin-on Hydraulic Filter</v>
          </cell>
        </row>
        <row r="265">
          <cell r="G265" t="str">
            <v>LFP2050</v>
          </cell>
          <cell r="H265" t="str">
            <v>Spin-on Oil Filter</v>
          </cell>
        </row>
        <row r="266">
          <cell r="G266" t="str">
            <v>LP5005</v>
          </cell>
          <cell r="H266" t="str">
            <v>Cartridge Power Steering (Hydraulic) Filter</v>
          </cell>
        </row>
        <row r="267">
          <cell r="G267" t="str">
            <v>CAF24012</v>
          </cell>
          <cell r="H267" t="str">
            <v>Cabin Air Filter</v>
          </cell>
        </row>
        <row r="268">
          <cell r="G268" t="str">
            <v>LFW6500</v>
          </cell>
          <cell r="H268" t="str">
            <v>Controll Release Spin-on Coolant Filter</v>
          </cell>
        </row>
        <row r="269">
          <cell r="G269" t="str">
            <v>LFF2</v>
          </cell>
          <cell r="H269" t="str">
            <v>Fuel Dispensing Filter</v>
          </cell>
        </row>
        <row r="270">
          <cell r="G270" t="str">
            <v>LFF3292</v>
          </cell>
          <cell r="H270" t="str">
            <v>Spin-on Fuel Water Separator Filter</v>
          </cell>
        </row>
        <row r="271">
          <cell r="G271" t="str">
            <v>LFF3808</v>
          </cell>
          <cell r="H271" t="str">
            <v>Spin-on Fuel Filter</v>
          </cell>
        </row>
        <row r="272">
          <cell r="G272" t="str">
            <v>PH400</v>
          </cell>
          <cell r="H272" t="str">
            <v>Spin-on Oil Filter</v>
          </cell>
        </row>
        <row r="273">
          <cell r="G273" t="str">
            <v>L4604F</v>
          </cell>
          <cell r="H273" t="str">
            <v>Fuel Filter Kit Primary/Secondary</v>
          </cell>
        </row>
        <row r="274">
          <cell r="G274" t="str">
            <v>LAF9472</v>
          </cell>
          <cell r="H274" t="str">
            <v>Cone Shaped Conical Air Filter</v>
          </cell>
        </row>
        <row r="275">
          <cell r="G275" t="str">
            <v>500</v>
          </cell>
          <cell r="H275" t="str">
            <v>500 FLEETPAK</v>
          </cell>
        </row>
        <row r="276">
          <cell r="G276" t="str">
            <v>AF1519</v>
          </cell>
          <cell r="H276" t="str">
            <v>Flexible Panel Air Filter</v>
          </cell>
        </row>
        <row r="277">
          <cell r="G277" t="str">
            <v>AF7872</v>
          </cell>
          <cell r="H277" t="str">
            <v>Flexible Panel Air Filter</v>
          </cell>
        </row>
        <row r="278">
          <cell r="G278" t="str">
            <v>LFF3415</v>
          </cell>
          <cell r="H278" t="str">
            <v>Spin-on Fuel Filter</v>
          </cell>
        </row>
        <row r="279">
          <cell r="G279" t="str">
            <v>LAF1520</v>
          </cell>
          <cell r="H279" t="str">
            <v>Flexible Panel Air Filter</v>
          </cell>
        </row>
        <row r="280">
          <cell r="G280" t="str">
            <v>LAF1770</v>
          </cell>
          <cell r="H280" t="str">
            <v>Cone Shaped Conical Air Filter</v>
          </cell>
        </row>
        <row r="281">
          <cell r="G281" t="str">
            <v>LAF6880</v>
          </cell>
          <cell r="H281" t="str">
            <v>Metal-End Air Filter with Closed Top End Cap</v>
          </cell>
        </row>
        <row r="282">
          <cell r="G282" t="str">
            <v>LFF5002</v>
          </cell>
          <cell r="H282" t="str">
            <v>Spin-on Fuel Filter</v>
          </cell>
        </row>
        <row r="283">
          <cell r="G283" t="str">
            <v>LFF5874</v>
          </cell>
          <cell r="H283" t="str">
            <v>Spin-on Fuel Filter</v>
          </cell>
        </row>
        <row r="284">
          <cell r="G284" t="str">
            <v>LFP2160XL</v>
          </cell>
          <cell r="H284" t="str">
            <v>Extended Life Spin-on Oil Filter</v>
          </cell>
        </row>
        <row r="285">
          <cell r="G285" t="str">
            <v>AF5HD</v>
          </cell>
          <cell r="H285" t="str">
            <v>Round Air Filter</v>
          </cell>
        </row>
        <row r="286">
          <cell r="G286" t="str">
            <v>LK161D</v>
          </cell>
          <cell r="H286" t="str">
            <v>Detroit Diesel Engine Maintenance Kit</v>
          </cell>
        </row>
        <row r="287">
          <cell r="G287" t="str">
            <v>LFP6241</v>
          </cell>
          <cell r="H287" t="str">
            <v>Spin-on Oil Filter</v>
          </cell>
        </row>
        <row r="288">
          <cell r="G288" t="str">
            <v>LFP4005G</v>
          </cell>
          <cell r="H288" t="str">
            <v>Extended Life Spin-on Oil Filter</v>
          </cell>
        </row>
        <row r="289">
          <cell r="G289" t="str">
            <v>LK288V</v>
          </cell>
          <cell r="H289" t="str">
            <v>Volvo Engine Maintenance Kit</v>
          </cell>
        </row>
        <row r="290">
          <cell r="G290" t="str">
            <v>PH2876</v>
          </cell>
          <cell r="H290" t="str">
            <v>Spin-on Oil Filter</v>
          </cell>
        </row>
        <row r="291">
          <cell r="G291" t="str">
            <v>P1130</v>
          </cell>
          <cell r="H291" t="str">
            <v>Box Type Fuel Filter</v>
          </cell>
        </row>
        <row r="292">
          <cell r="G292" t="str">
            <v>LFF3579</v>
          </cell>
          <cell r="H292" t="str">
            <v>Bowl Style Fuel Water Separator Filter</v>
          </cell>
        </row>
        <row r="293">
          <cell r="G293" t="str">
            <v>LP487</v>
          </cell>
          <cell r="H293" t="str">
            <v>Power Steering Cartridge Filter</v>
          </cell>
        </row>
        <row r="294">
          <cell r="G294" t="str">
            <v>LAF8148</v>
          </cell>
          <cell r="H294" t="str">
            <v>Radial Seal Outer Air Filter</v>
          </cell>
        </row>
        <row r="295">
          <cell r="G295" t="str">
            <v>LFP2294</v>
          </cell>
          <cell r="H295" t="str">
            <v>Spin-on Oil Filter</v>
          </cell>
        </row>
        <row r="296">
          <cell r="G296" t="str">
            <v>PH675</v>
          </cell>
          <cell r="H296" t="str">
            <v>Spin-on Oil Filter</v>
          </cell>
        </row>
        <row r="297">
          <cell r="G297" t="str">
            <v>LH4101</v>
          </cell>
          <cell r="H297" t="str">
            <v>Cartridge Power Steering Filter</v>
          </cell>
        </row>
        <row r="298">
          <cell r="G298" t="str">
            <v>LAF4556</v>
          </cell>
          <cell r="H298" t="str">
            <v>Primary Radial Seal Air Filter</v>
          </cell>
        </row>
        <row r="299">
          <cell r="G299" t="str">
            <v>LFH4223</v>
          </cell>
          <cell r="H299" t="str">
            <v>Spin-on Hydraulic Filter</v>
          </cell>
        </row>
        <row r="300">
          <cell r="G300">
            <v>920064</v>
          </cell>
          <cell r="H300" t="str">
            <v>LUBERCOOL</v>
          </cell>
        </row>
        <row r="301">
          <cell r="G301" t="str">
            <v>LAF8143</v>
          </cell>
          <cell r="H301" t="str">
            <v>Radial Seal Outer Air Filter</v>
          </cell>
        </row>
        <row r="302">
          <cell r="G302" t="str">
            <v>PH4403</v>
          </cell>
          <cell r="H302" t="str">
            <v>Spin-on Oil Filter</v>
          </cell>
        </row>
        <row r="303">
          <cell r="G303" t="str">
            <v>FP591F</v>
          </cell>
          <cell r="H303" t="str">
            <v>Spin-on Fuel Filter</v>
          </cell>
        </row>
        <row r="304">
          <cell r="G304" t="str">
            <v>AF1518</v>
          </cell>
          <cell r="H304" t="str">
            <v>Flexible Panel Air Filter</v>
          </cell>
        </row>
        <row r="305">
          <cell r="G305" t="str">
            <v>LAF6889</v>
          </cell>
          <cell r="H305" t="str">
            <v>Corrugated Media Air Filter</v>
          </cell>
        </row>
        <row r="306">
          <cell r="G306" t="str">
            <v>LFF5080</v>
          </cell>
          <cell r="H306" t="str">
            <v>Spin-on Fuel Filter</v>
          </cell>
        </row>
        <row r="307">
          <cell r="G307" t="str">
            <v>LAF6918</v>
          </cell>
          <cell r="H307" t="str">
            <v>Metal-End Air Filter with Closed Top End Cap</v>
          </cell>
        </row>
        <row r="308">
          <cell r="G308" t="str">
            <v>LAF8047</v>
          </cell>
          <cell r="H308" t="str">
            <v>HD Metal-End Air Filter with Attached Lid</v>
          </cell>
        </row>
        <row r="309">
          <cell r="G309" t="str">
            <v>LAF3141</v>
          </cell>
          <cell r="H309" t="str">
            <v>Flexible Panel Air Filter</v>
          </cell>
        </row>
        <row r="310">
          <cell r="G310" t="str">
            <v>LFF5804</v>
          </cell>
          <cell r="H310" t="str">
            <v>Spin-on Fuel Filter</v>
          </cell>
        </row>
        <row r="311">
          <cell r="G311" t="str">
            <v>LFF9982</v>
          </cell>
          <cell r="H311" t="str">
            <v>Spin-on Fuel Filter</v>
          </cell>
        </row>
        <row r="312">
          <cell r="G312" t="str">
            <v>FP603</v>
          </cell>
          <cell r="H312" t="str">
            <v>Spin-on Fuel Filter</v>
          </cell>
        </row>
        <row r="313">
          <cell r="G313" t="str">
            <v>LFF8012</v>
          </cell>
          <cell r="H313" t="str">
            <v>Spin-on Fuel Filter</v>
          </cell>
        </row>
        <row r="314">
          <cell r="G314" t="str">
            <v>LCTK12</v>
          </cell>
          <cell r="H314" t="str">
            <v>Coolant Analysis Test Kit</v>
          </cell>
        </row>
        <row r="315">
          <cell r="G315" t="str">
            <v>LAF9102</v>
          </cell>
          <cell r="H315" t="str">
            <v>Radial Seal Inner Air Filter</v>
          </cell>
        </row>
        <row r="316">
          <cell r="G316" t="str">
            <v>PH2816</v>
          </cell>
          <cell r="H316" t="str">
            <v>Spin-on Oil Filter</v>
          </cell>
        </row>
        <row r="317">
          <cell r="G317" t="str">
            <v>LFF5D</v>
          </cell>
          <cell r="H317" t="str">
            <v>HD Fuel Spin-on Filter</v>
          </cell>
        </row>
        <row r="318">
          <cell r="G318" t="str">
            <v>LAF222</v>
          </cell>
          <cell r="H318" t="str">
            <v>Finned Vane Air Filter</v>
          </cell>
        </row>
        <row r="319">
          <cell r="G319" t="str">
            <v>LP2273</v>
          </cell>
          <cell r="H319" t="str">
            <v>Centrifugal Cartridge Oil Filter</v>
          </cell>
        </row>
        <row r="320">
          <cell r="G320" t="str">
            <v>LK124S</v>
          </cell>
          <cell r="H320" t="str">
            <v>Spinner II Maintenance Kit</v>
          </cell>
        </row>
        <row r="321">
          <cell r="G321" t="str">
            <v>LFP2440</v>
          </cell>
          <cell r="H321" t="str">
            <v>Spin-on Oil Filter</v>
          </cell>
        </row>
        <row r="322">
          <cell r="G322" t="str">
            <v>L9800F</v>
          </cell>
          <cell r="H322" t="str">
            <v>Cartridge Fuel Water Separator Coalescer filter</v>
          </cell>
        </row>
        <row r="323">
          <cell r="G323" t="str">
            <v>P3</v>
          </cell>
          <cell r="H323" t="str">
            <v>Cartridge Oil Filter</v>
          </cell>
        </row>
        <row r="324">
          <cell r="G324" t="str">
            <v>LFP2300</v>
          </cell>
          <cell r="H324" t="str">
            <v>Spin-on Oil Filter</v>
          </cell>
        </row>
        <row r="325">
          <cell r="G325" t="str">
            <v>LFF3806</v>
          </cell>
          <cell r="H325" t="str">
            <v>Spin-on Fuel Filter</v>
          </cell>
        </row>
        <row r="326">
          <cell r="G326" t="str">
            <v>LFH4915</v>
          </cell>
          <cell r="H326" t="str">
            <v>Spin-on Hydraulic Filter</v>
          </cell>
        </row>
        <row r="327">
          <cell r="G327" t="str">
            <v>AF1890</v>
          </cell>
          <cell r="H327" t="str">
            <v>Panel Air Irregular Shaped Filter</v>
          </cell>
        </row>
        <row r="328">
          <cell r="G328" t="str">
            <v>LFF8707</v>
          </cell>
          <cell r="H328" t="str">
            <v>Bowl Style Fuel Water Separator Filter</v>
          </cell>
        </row>
        <row r="329">
          <cell r="G329" t="str">
            <v>AF7984</v>
          </cell>
          <cell r="H329" t="str">
            <v>Flexible Panel Air Filter</v>
          </cell>
        </row>
        <row r="330">
          <cell r="G330" t="str">
            <v>LFP8590</v>
          </cell>
          <cell r="H330" t="str">
            <v>Spin-on Oil Filter</v>
          </cell>
        </row>
        <row r="331">
          <cell r="G331" t="str">
            <v>AF5185</v>
          </cell>
          <cell r="H331" t="str">
            <v>Rigid Panel Air Filter</v>
          </cell>
        </row>
        <row r="332">
          <cell r="G332" t="str">
            <v>LFP2000C</v>
          </cell>
          <cell r="H332" t="str">
            <v>Spin-on Fuel Water Separator Coalescer Filter</v>
          </cell>
        </row>
        <row r="333">
          <cell r="G333" t="str">
            <v>LAF5325</v>
          </cell>
          <cell r="H333" t="str">
            <v>Radial Seal Outer Air Filter</v>
          </cell>
        </row>
        <row r="334">
          <cell r="G334" t="str">
            <v>AF7996</v>
          </cell>
          <cell r="H334" t="str">
            <v>Radial Seal Air Filter</v>
          </cell>
        </row>
        <row r="335">
          <cell r="G335" t="str">
            <v>LAF9540</v>
          </cell>
          <cell r="H335" t="str">
            <v>Radial Seal Outer Air Filter</v>
          </cell>
        </row>
        <row r="336">
          <cell r="G336" t="str">
            <v>LFF6771</v>
          </cell>
          <cell r="H336" t="str">
            <v>Spin-on Fuel Water Separator Filter</v>
          </cell>
        </row>
        <row r="337">
          <cell r="G337" t="str">
            <v>LFW4075</v>
          </cell>
          <cell r="H337" t="str">
            <v>Spin-on Coolant Filter</v>
          </cell>
        </row>
        <row r="338">
          <cell r="G338" t="str">
            <v>LFW4072</v>
          </cell>
          <cell r="H338" t="str">
            <v>Spin-on Coolant Filter</v>
          </cell>
        </row>
        <row r="339">
          <cell r="G339" t="str">
            <v>CAF24002</v>
          </cell>
          <cell r="H339" t="str">
            <v>Cabin Air Filter</v>
          </cell>
        </row>
        <row r="340">
          <cell r="G340" t="str">
            <v>FP251F</v>
          </cell>
          <cell r="H340" t="str">
            <v>Spin-on Fuel Filter</v>
          </cell>
        </row>
        <row r="341">
          <cell r="G341" t="str">
            <v>LAF8150</v>
          </cell>
          <cell r="H341" t="str">
            <v>Radial Seal Outer Air Filter</v>
          </cell>
        </row>
        <row r="342">
          <cell r="G342" t="str">
            <v>LFF3553</v>
          </cell>
          <cell r="H342" t="str">
            <v>Spin-on Fuel Filter</v>
          </cell>
        </row>
        <row r="343">
          <cell r="G343" t="str">
            <v>LFH5659</v>
          </cell>
          <cell r="H343" t="str">
            <v>Spin-on Hydraulic Filter</v>
          </cell>
        </row>
        <row r="344">
          <cell r="G344" t="str">
            <v>LFF3806/4806</v>
          </cell>
          <cell r="H344" t="str">
            <v>Spin-on Fuel Filter</v>
          </cell>
        </row>
        <row r="345">
          <cell r="G345" t="str">
            <v>L7662FK</v>
          </cell>
          <cell r="H345" t="str">
            <v>Fuel filter kit</v>
          </cell>
        </row>
        <row r="346">
          <cell r="G346" t="str">
            <v>CAF1914P</v>
          </cell>
          <cell r="H346" t="str">
            <v>Cabin Air Filter</v>
          </cell>
        </row>
        <row r="347">
          <cell r="G347" t="str">
            <v>LAF6265</v>
          </cell>
          <cell r="H347" t="str">
            <v>Corrugated Media Air Filter</v>
          </cell>
        </row>
        <row r="348">
          <cell r="G348" t="str">
            <v>LAF1839</v>
          </cell>
          <cell r="H348" t="str">
            <v>HD Round Air Filter with Attached Boot</v>
          </cell>
        </row>
        <row r="349">
          <cell r="G349" t="str">
            <v>L3102F</v>
          </cell>
          <cell r="H349" t="str">
            <v>Snap-lock Fuel/Water Separator Filter</v>
          </cell>
        </row>
        <row r="350">
          <cell r="G350" t="str">
            <v>LFP2222</v>
          </cell>
          <cell r="H350" t="str">
            <v>Spin-on Oil Filter</v>
          </cell>
        </row>
        <row r="351">
          <cell r="G351" t="str">
            <v>P990</v>
          </cell>
          <cell r="H351" t="str">
            <v>Cartridge Oil Filter</v>
          </cell>
        </row>
        <row r="352">
          <cell r="G352" t="str">
            <v>LFP8340</v>
          </cell>
          <cell r="H352" t="str">
            <v>Spin-on Oil Filter</v>
          </cell>
        </row>
        <row r="353">
          <cell r="G353" t="str">
            <v>PH720</v>
          </cell>
          <cell r="H353" t="str">
            <v>Spin-on Oil Filter</v>
          </cell>
        </row>
        <row r="354">
          <cell r="G354" t="str">
            <v>LAF1246</v>
          </cell>
          <cell r="H354" t="str">
            <v>Finned Vane Air Filter</v>
          </cell>
        </row>
        <row r="355">
          <cell r="G355" t="str">
            <v>G6593</v>
          </cell>
          <cell r="H355" t="str">
            <v>In-Line Fuel Filter</v>
          </cell>
        </row>
        <row r="356">
          <cell r="G356" t="str">
            <v>LAF5633</v>
          </cell>
          <cell r="H356" t="str">
            <v>Radial Seal Outer Air Filter</v>
          </cell>
        </row>
        <row r="357">
          <cell r="G357" t="str">
            <v>LFF1201</v>
          </cell>
          <cell r="H357" t="str">
            <v>Spin-on Fuel Filter</v>
          </cell>
        </row>
        <row r="358">
          <cell r="G358" t="str">
            <v>LFF6816XL</v>
          </cell>
          <cell r="H358" t="str">
            <v>Spin-on Fuel Filter</v>
          </cell>
        </row>
        <row r="359">
          <cell r="G359" t="str">
            <v>LFF8060</v>
          </cell>
          <cell r="H359" t="str">
            <v>Spin-on Fuel Water Separator Filter</v>
          </cell>
        </row>
        <row r="360">
          <cell r="G360" t="str">
            <v>LFF2040N</v>
          </cell>
          <cell r="H360" t="str">
            <v>Cartridge Fuel Filter</v>
          </cell>
        </row>
        <row r="361">
          <cell r="G361" t="str">
            <v>LAF7472</v>
          </cell>
          <cell r="H361" t="str">
            <v>Cone Shaped Conical Air Filter</v>
          </cell>
        </row>
        <row r="362">
          <cell r="G362" t="str">
            <v>G6635</v>
          </cell>
          <cell r="H362" t="str">
            <v>In-Line Fuel Filter</v>
          </cell>
        </row>
        <row r="363">
          <cell r="G363" t="str">
            <v>LFP2275</v>
          </cell>
          <cell r="H363" t="str">
            <v>Spin-on Oil Filter</v>
          </cell>
        </row>
        <row r="364">
          <cell r="G364" t="str">
            <v>L4609F</v>
          </cell>
          <cell r="H364" t="str">
            <v>Fuel Filter Kit Primary/Secondary</v>
          </cell>
        </row>
        <row r="365">
          <cell r="G365" t="str">
            <v>LAF8430</v>
          </cell>
          <cell r="H365" t="str">
            <v>Radial Seal Outer Air Filter</v>
          </cell>
        </row>
        <row r="366">
          <cell r="G366" t="str">
            <v>L9730F</v>
          </cell>
          <cell r="H366" t="str">
            <v>Cartridge Fuel Water Separator Filter</v>
          </cell>
        </row>
        <row r="367">
          <cell r="G367" t="str">
            <v>LOSK-1</v>
          </cell>
          <cell r="H367" t="str">
            <v>Oil Analysis Test Kit</v>
          </cell>
        </row>
        <row r="368">
          <cell r="G368" t="str">
            <v>L3887F</v>
          </cell>
          <cell r="H368" t="str">
            <v>Snap-Lock Fuel Filter</v>
          </cell>
        </row>
        <row r="369">
          <cell r="G369" t="str">
            <v>LFP3693F</v>
          </cell>
          <cell r="H369" t="str">
            <v>Spin-on Fuel Filter</v>
          </cell>
        </row>
        <row r="370">
          <cell r="G370" t="str">
            <v>LFP3729</v>
          </cell>
          <cell r="H370" t="str">
            <v>Spin-on Oil Filter</v>
          </cell>
        </row>
        <row r="371">
          <cell r="G371" t="str">
            <v>LAF237</v>
          </cell>
          <cell r="H371" t="str">
            <v>Finned Vane Air Filter</v>
          </cell>
        </row>
        <row r="372">
          <cell r="G372" t="str">
            <v>750</v>
          </cell>
          <cell r="H372" t="str">
            <v>Refining Oil Filter Element used in Luberfiner 750 Units</v>
          </cell>
        </row>
        <row r="373">
          <cell r="G373" t="str">
            <v>LAF1829</v>
          </cell>
          <cell r="H373" t="str">
            <v>Disposible Housing Air Filter</v>
          </cell>
        </row>
        <row r="374">
          <cell r="G374" t="str">
            <v>LFP734</v>
          </cell>
          <cell r="H374" t="str">
            <v>Spin-on Oil Filter</v>
          </cell>
        </row>
        <row r="375">
          <cell r="G375" t="str">
            <v>LFF8762</v>
          </cell>
          <cell r="H375" t="str">
            <v>Spin-on Fuel Filter</v>
          </cell>
        </row>
        <row r="376">
          <cell r="G376" t="str">
            <v>LAF8670</v>
          </cell>
          <cell r="H376" t="str">
            <v>Radial Seal Inner Air Filter</v>
          </cell>
        </row>
        <row r="377">
          <cell r="G377" t="str">
            <v>LAF8691</v>
          </cell>
          <cell r="H377" t="str">
            <v>Radial Seal Outer Air Filter</v>
          </cell>
        </row>
        <row r="378">
          <cell r="G378" t="str">
            <v>LAF3407</v>
          </cell>
          <cell r="H378" t="str">
            <v>Panel Air Filter Metal Framed</v>
          </cell>
        </row>
        <row r="379">
          <cell r="G379" t="str">
            <v>LAF6986</v>
          </cell>
          <cell r="H379" t="str">
            <v>Radial Seal Air Filter, Primary</v>
          </cell>
        </row>
        <row r="380">
          <cell r="G380" t="str">
            <v>AF2782</v>
          </cell>
          <cell r="H380" t="str">
            <v>Flexible Panel Air Filter</v>
          </cell>
        </row>
        <row r="381">
          <cell r="G381" t="str">
            <v>L3523F</v>
          </cell>
          <cell r="H381" t="str">
            <v>Cartridge Fuel Filter</v>
          </cell>
        </row>
        <row r="382">
          <cell r="G382" t="str">
            <v>LFF1001</v>
          </cell>
          <cell r="H382" t="str">
            <v>Spin-on Fuel Filter</v>
          </cell>
        </row>
        <row r="383">
          <cell r="G383" t="str">
            <v>LFP5748</v>
          </cell>
          <cell r="H383" t="str">
            <v>Spin-on Oil Filter</v>
          </cell>
        </row>
        <row r="384">
          <cell r="G384" t="str">
            <v>L6161F</v>
          </cell>
          <cell r="H384" t="str">
            <v>Cartridge Fuel Filter</v>
          </cell>
        </row>
        <row r="385">
          <cell r="G385" t="str">
            <v>LAF8765</v>
          </cell>
          <cell r="H385" t="str">
            <v>Radial Seal Outer Air Filter</v>
          </cell>
        </row>
        <row r="386">
          <cell r="G386" t="str">
            <v>L7663F</v>
          </cell>
          <cell r="H386" t="str">
            <v>Cartridge Fuel Filter</v>
          </cell>
        </row>
        <row r="387">
          <cell r="G387" t="str">
            <v>LAF9104</v>
          </cell>
          <cell r="H387" t="str">
            <v>Corrugated Media Air Filter</v>
          </cell>
        </row>
        <row r="388">
          <cell r="G388" t="str">
            <v>LFF6770</v>
          </cell>
          <cell r="H388" t="str">
            <v>Spin-on Fuel Water Separator Filter</v>
          </cell>
        </row>
        <row r="389">
          <cell r="G389" t="str">
            <v>LAF1787</v>
          </cell>
          <cell r="H389" t="str">
            <v>HD Metal-End Air Filter</v>
          </cell>
        </row>
        <row r="390">
          <cell r="G390" t="str">
            <v>PC234</v>
          </cell>
          <cell r="H390" t="str">
            <v>PCV Valve</v>
          </cell>
        </row>
        <row r="391">
          <cell r="G391" t="str">
            <v>LAF4503</v>
          </cell>
          <cell r="H391" t="str">
            <v>Radial Seal Outer Air Filter</v>
          </cell>
        </row>
        <row r="392">
          <cell r="G392" t="str">
            <v>LH5747</v>
          </cell>
          <cell r="H392" t="str">
            <v>Cartridge Hydraulic Filter</v>
          </cell>
        </row>
        <row r="393">
          <cell r="G393" t="str">
            <v>L2021F</v>
          </cell>
          <cell r="H393" t="str">
            <v>Cartridge Fuel Water Separator Filter</v>
          </cell>
        </row>
        <row r="394">
          <cell r="G394" t="str">
            <v>LAF7413</v>
          </cell>
          <cell r="H394" t="str">
            <v>HD Metal-End Air Filter</v>
          </cell>
        </row>
        <row r="395">
          <cell r="G395" t="str">
            <v>LAF4505</v>
          </cell>
          <cell r="H395" t="str">
            <v>Radial Seal Outer Air Filter</v>
          </cell>
        </row>
        <row r="396">
          <cell r="G396" t="str">
            <v>LFP4005SC</v>
          </cell>
          <cell r="H396" t="str">
            <v>Spin-on Oil Filter</v>
          </cell>
        </row>
        <row r="397">
          <cell r="G397" t="str">
            <v>LAF9500</v>
          </cell>
          <cell r="H397" t="str">
            <v>Radial Seal Outer Air Filter</v>
          </cell>
        </row>
        <row r="398">
          <cell r="G398" t="str">
            <v>AF211</v>
          </cell>
          <cell r="H398" t="str">
            <v>Round Air Filter</v>
          </cell>
        </row>
        <row r="399">
          <cell r="G399" t="str">
            <v>L1011F</v>
          </cell>
          <cell r="H399" t="str">
            <v>Cartridge Fuel Filter</v>
          </cell>
        </row>
        <row r="400">
          <cell r="G400" t="str">
            <v>LAF6664</v>
          </cell>
          <cell r="H400" t="str">
            <v>Radial Seal Inner Air Filter</v>
          </cell>
        </row>
        <row r="401">
          <cell r="G401" t="str">
            <v>G2978</v>
          </cell>
          <cell r="H401" t="str">
            <v>In-Line Fuel Filter</v>
          </cell>
        </row>
        <row r="402">
          <cell r="G402" t="str">
            <v>CAF24005XL</v>
          </cell>
          <cell r="H402" t="str">
            <v>Cabin Air Filter (Carbon) Extreme Clean</v>
          </cell>
        </row>
        <row r="403">
          <cell r="G403" t="str">
            <v>LAF292</v>
          </cell>
          <cell r="H403" t="str">
            <v>Round Plastisol Air Filter</v>
          </cell>
        </row>
        <row r="404">
          <cell r="G404" t="str">
            <v>LAF1275</v>
          </cell>
          <cell r="H404" t="str">
            <v>Finned Vane Air Filter</v>
          </cell>
        </row>
        <row r="405">
          <cell r="G405" t="str">
            <v>LAF8693</v>
          </cell>
          <cell r="H405" t="str">
            <v>Radial Seal Inner Air Filter</v>
          </cell>
        </row>
        <row r="406">
          <cell r="G406" t="str">
            <v>LFW4686</v>
          </cell>
          <cell r="H406" t="str">
            <v>Spin-on Coolant Filter</v>
          </cell>
        </row>
        <row r="407">
          <cell r="G407" t="str">
            <v>LFP928F</v>
          </cell>
          <cell r="H407" t="str">
            <v>Spin-on Fuel Filter</v>
          </cell>
        </row>
        <row r="408">
          <cell r="G408" t="str">
            <v>LFF3579U</v>
          </cell>
          <cell r="H408" t="str">
            <v>Bowless Fuel Water Separator Filter</v>
          </cell>
        </row>
        <row r="409">
          <cell r="G409" t="str">
            <v>LAF8690</v>
          </cell>
          <cell r="H409" t="str">
            <v>Radial Seal Inner Air Filter</v>
          </cell>
        </row>
        <row r="410">
          <cell r="G410" t="str">
            <v>LAF6923</v>
          </cell>
          <cell r="H410" t="str">
            <v>Radial Seal Inner Air Filter</v>
          </cell>
        </row>
        <row r="411">
          <cell r="G411" t="str">
            <v>LFP3404A</v>
          </cell>
          <cell r="H411" t="str">
            <v>Spin-on Oil Filter</v>
          </cell>
        </row>
        <row r="412">
          <cell r="G412" t="str">
            <v>LP2017</v>
          </cell>
          <cell r="H412" t="str">
            <v>Oil filter and Cap for Ford Super Duty Diesel trucks</v>
          </cell>
        </row>
        <row r="413">
          <cell r="G413" t="str">
            <v>LFH4959</v>
          </cell>
          <cell r="H413" t="str">
            <v>Spin-on Hydraulic Filter</v>
          </cell>
        </row>
        <row r="414">
          <cell r="G414" t="str">
            <v>LAF6127</v>
          </cell>
          <cell r="H414" t="str">
            <v>HD Round Air Filter with Attached Boot</v>
          </cell>
        </row>
        <row r="415">
          <cell r="G415" t="str">
            <v>LFF902</v>
          </cell>
          <cell r="H415" t="str">
            <v>Bowl Style Fuel Water Separator Filter</v>
          </cell>
        </row>
        <row r="416">
          <cell r="G416" t="str">
            <v>LFW5875</v>
          </cell>
          <cell r="H416" t="str">
            <v>Spin-on Coolant Filter</v>
          </cell>
        </row>
        <row r="417">
          <cell r="G417" t="str">
            <v>LP5090A</v>
          </cell>
          <cell r="H417" t="str">
            <v>Cartridge Oil Filter</v>
          </cell>
        </row>
        <row r="418">
          <cell r="G418" t="str">
            <v>AF299</v>
          </cell>
          <cell r="H418" t="str">
            <v>Flexible Panel Air Filter</v>
          </cell>
        </row>
        <row r="419">
          <cell r="G419" t="str">
            <v>LP2243</v>
          </cell>
          <cell r="H419" t="str">
            <v>Cartridge Oil Filter</v>
          </cell>
        </row>
        <row r="420">
          <cell r="G420" t="str">
            <v>L6285F</v>
          </cell>
          <cell r="H420" t="str">
            <v>Box Type Fuel Filter</v>
          </cell>
        </row>
        <row r="421">
          <cell r="G421" t="str">
            <v>G5/16CP</v>
          </cell>
          <cell r="H421" t="str">
            <v>Clear Plastic in-line fuel</v>
          </cell>
        </row>
        <row r="422">
          <cell r="G422" t="str">
            <v>L3995F</v>
          </cell>
          <cell r="H422" t="str">
            <v>In-Line Fuel Filter</v>
          </cell>
        </row>
        <row r="423">
          <cell r="G423" t="str">
            <v>LFH5876</v>
          </cell>
          <cell r="H423" t="str">
            <v>Spin-on Hydraulic Filter</v>
          </cell>
        </row>
        <row r="424">
          <cell r="G424" t="str">
            <v>LAF1544</v>
          </cell>
          <cell r="H424" t="str">
            <v>Finned Vane Air Filter</v>
          </cell>
        </row>
        <row r="425">
          <cell r="G425" t="str">
            <v>LAF6725</v>
          </cell>
          <cell r="H425" t="str">
            <v>Corrugated Media Air Filter</v>
          </cell>
        </row>
        <row r="426">
          <cell r="G426" t="str">
            <v>LAF8149</v>
          </cell>
          <cell r="H426" t="str">
            <v>Radial Seal Outer Air Filter</v>
          </cell>
        </row>
        <row r="427">
          <cell r="G427" t="str">
            <v>LFP6023</v>
          </cell>
          <cell r="H427" t="str">
            <v>Spin-on Oil Filter</v>
          </cell>
        </row>
        <row r="428">
          <cell r="G428" t="str">
            <v>LFF3294</v>
          </cell>
          <cell r="H428" t="str">
            <v>Spin-on Fuel Filter</v>
          </cell>
        </row>
        <row r="429">
          <cell r="G429" t="str">
            <v>CAF24013</v>
          </cell>
          <cell r="H429" t="str">
            <v>Cabin Air Filter</v>
          </cell>
        </row>
        <row r="430">
          <cell r="G430" t="str">
            <v>CAF24024</v>
          </cell>
          <cell r="H430" t="str">
            <v>Cabin Air Filter</v>
          </cell>
        </row>
        <row r="431">
          <cell r="G431" t="str">
            <v>LAF9501</v>
          </cell>
          <cell r="H431" t="str">
            <v>HD Metal-End Air Filter</v>
          </cell>
        </row>
        <row r="432">
          <cell r="G432" t="str">
            <v>L8868F</v>
          </cell>
          <cell r="H432" t="str">
            <v>Snap-Lock Fuel Filter</v>
          </cell>
        </row>
        <row r="433">
          <cell r="G433" t="str">
            <v>LFF5510</v>
          </cell>
          <cell r="H433" t="str">
            <v>Fuel Dispensing Filter</v>
          </cell>
        </row>
        <row r="434">
          <cell r="G434" t="str">
            <v>LFF1129</v>
          </cell>
          <cell r="H434" t="str">
            <v>Spin-on Fuel Filter</v>
          </cell>
        </row>
        <row r="435">
          <cell r="G435" t="str">
            <v>LAF9547</v>
          </cell>
          <cell r="H435" t="str">
            <v>Radial Seal Outer Air Filter</v>
          </cell>
        </row>
        <row r="436">
          <cell r="G436" t="str">
            <v>LAF9538</v>
          </cell>
          <cell r="H436" t="str">
            <v>Finned Vane Air Filter</v>
          </cell>
        </row>
        <row r="437">
          <cell r="G437" t="str">
            <v>LFF871</v>
          </cell>
          <cell r="H437" t="str">
            <v>Cartridge Fuel Filter</v>
          </cell>
        </row>
        <row r="438">
          <cell r="G438" t="str">
            <v>LFH4204</v>
          </cell>
          <cell r="H438" t="str">
            <v>Spin-on Hydraulic Filter</v>
          </cell>
        </row>
        <row r="439">
          <cell r="G439" t="str">
            <v>LH5961</v>
          </cell>
          <cell r="H439" t="str">
            <v>Cartridge Power Steering (Hydraulic) Filter</v>
          </cell>
        </row>
        <row r="440">
          <cell r="G440" t="str">
            <v>LP560</v>
          </cell>
          <cell r="H440" t="str">
            <v>Cartridge Oil Filter</v>
          </cell>
        </row>
        <row r="441">
          <cell r="G441" t="str">
            <v>AF5198</v>
          </cell>
          <cell r="H441" t="str">
            <v>Flexible Panel Air Filter</v>
          </cell>
        </row>
        <row r="442">
          <cell r="G442" t="str">
            <v>L8683F</v>
          </cell>
          <cell r="H442" t="str">
            <v>Snap-Lock Fuel Filter</v>
          </cell>
        </row>
        <row r="443">
          <cell r="G443" t="str">
            <v>LK341M</v>
          </cell>
          <cell r="H443" t="str">
            <v>Mack Engine Maintenance Kit</v>
          </cell>
        </row>
        <row r="444">
          <cell r="G444" t="str">
            <v>LFF1282</v>
          </cell>
          <cell r="H444" t="str">
            <v>Spin-on Fuel Water Separator Filter</v>
          </cell>
        </row>
        <row r="445">
          <cell r="G445" t="str">
            <v>LFH4910</v>
          </cell>
          <cell r="H445" t="str">
            <v>Spin-on Hydraulic Filter</v>
          </cell>
        </row>
        <row r="446">
          <cell r="G446" t="str">
            <v>LFF4296</v>
          </cell>
          <cell r="H446" t="str">
            <v>Spin-on Fuel Filter</v>
          </cell>
        </row>
        <row r="447">
          <cell r="G447" t="str">
            <v>G2920</v>
          </cell>
          <cell r="H447" t="str">
            <v>Spin-on Fuel Filter</v>
          </cell>
        </row>
        <row r="448">
          <cell r="G448" t="str">
            <v>AF2884</v>
          </cell>
          <cell r="H448" t="str">
            <v>Flexible Panel Air Filter</v>
          </cell>
        </row>
        <row r="449">
          <cell r="G449" t="str">
            <v>LAF1947</v>
          </cell>
          <cell r="H449" t="str">
            <v>HD Metal-End Air Filter with Attached Lid</v>
          </cell>
        </row>
        <row r="450">
          <cell r="G450" t="str">
            <v>LAF8114</v>
          </cell>
          <cell r="H450" t="str">
            <v>Radial Seal Inner Air Filter</v>
          </cell>
        </row>
        <row r="451">
          <cell r="G451" t="str">
            <v>AF3955</v>
          </cell>
          <cell r="H451" t="str">
            <v>Flexible Panel Air Filter</v>
          </cell>
        </row>
        <row r="452">
          <cell r="G452" t="str">
            <v>LFF4295</v>
          </cell>
          <cell r="H452" t="str">
            <v>Spin-on Fuel Filter</v>
          </cell>
        </row>
        <row r="453">
          <cell r="G453" t="str">
            <v>L7264F</v>
          </cell>
          <cell r="H453" t="str">
            <v>Box Type Fuel Filter</v>
          </cell>
        </row>
        <row r="454">
          <cell r="G454" t="str">
            <v>AF917</v>
          </cell>
          <cell r="H454" t="str">
            <v>Flexible Panel Air Filter</v>
          </cell>
        </row>
        <row r="455">
          <cell r="G455" t="str">
            <v>LAF1646</v>
          </cell>
          <cell r="H455" t="str">
            <v>Corrugated Media Air Filter</v>
          </cell>
        </row>
        <row r="456">
          <cell r="G456" t="str">
            <v>P90</v>
          </cell>
          <cell r="H456" t="str">
            <v>Cartridge Oil Filter</v>
          </cell>
        </row>
        <row r="457">
          <cell r="G457" t="str">
            <v>CAF24011</v>
          </cell>
          <cell r="H457" t="str">
            <v>Cabin Air Filter</v>
          </cell>
        </row>
        <row r="458">
          <cell r="G458" t="str">
            <v>LP5979</v>
          </cell>
          <cell r="H458" t="str">
            <v>Cartridge Oil Filter</v>
          </cell>
        </row>
        <row r="459">
          <cell r="G459" t="str">
            <v>LFF8307</v>
          </cell>
          <cell r="H459" t="str">
            <v>Spin-on Fuel Filter</v>
          </cell>
        </row>
        <row r="460">
          <cell r="G460" t="str">
            <v>LK367C</v>
          </cell>
          <cell r="H460" t="str">
            <v>Cummins Maintenance Kit</v>
          </cell>
        </row>
        <row r="461">
          <cell r="G461" t="str">
            <v>LFP791</v>
          </cell>
          <cell r="H461" t="str">
            <v>Spin-on Oil Filter</v>
          </cell>
        </row>
        <row r="462">
          <cell r="G462" t="str">
            <v>LFH4909</v>
          </cell>
          <cell r="H462" t="str">
            <v>Breather Filter</v>
          </cell>
        </row>
        <row r="463">
          <cell r="G463" t="str">
            <v>LFP9025XL</v>
          </cell>
          <cell r="H463" t="str">
            <v>Extended Life Spin-on Oil Filter</v>
          </cell>
        </row>
        <row r="464">
          <cell r="G464" t="str">
            <v>PH610</v>
          </cell>
          <cell r="H464" t="str">
            <v>Spin-on Oil Filter</v>
          </cell>
        </row>
        <row r="465">
          <cell r="G465" t="str">
            <v>LAF6922</v>
          </cell>
          <cell r="H465" t="str">
            <v>Radial Seal Outer Air Filter</v>
          </cell>
        </row>
        <row r="466">
          <cell r="G466" t="str">
            <v>LAF2947</v>
          </cell>
          <cell r="H466" t="str">
            <v>Corrugated Media Air Filter</v>
          </cell>
        </row>
        <row r="467">
          <cell r="G467" t="str">
            <v>AF3978</v>
          </cell>
          <cell r="H467" t="str">
            <v>Panel Air Filter</v>
          </cell>
        </row>
        <row r="468">
          <cell r="G468" t="str">
            <v>LFF8011</v>
          </cell>
          <cell r="H468" t="str">
            <v>Spin-on Fuel Water Separator Filter</v>
          </cell>
        </row>
        <row r="469">
          <cell r="G469" t="str">
            <v>LAF9332</v>
          </cell>
          <cell r="H469" t="str">
            <v>Radial Seal Inner Air Filter</v>
          </cell>
        </row>
        <row r="470">
          <cell r="G470" t="str">
            <v>LAF4504</v>
          </cell>
          <cell r="H470" t="str">
            <v>Radial Seal Inner Air Filter</v>
          </cell>
        </row>
        <row r="471">
          <cell r="G471" t="str">
            <v>LFP1101F</v>
          </cell>
          <cell r="H471" t="str">
            <v>Spin-on Fuel Filter</v>
          </cell>
        </row>
        <row r="472">
          <cell r="G472" t="str">
            <v>AF5187</v>
          </cell>
          <cell r="H472" t="str">
            <v>Rigid Panel Air Filter</v>
          </cell>
        </row>
        <row r="473">
          <cell r="G473" t="str">
            <v>LAF8172</v>
          </cell>
          <cell r="H473" t="str">
            <v>Radial Seal Air Filter (Primary)</v>
          </cell>
        </row>
        <row r="474">
          <cell r="G474" t="str">
            <v>CAF24007</v>
          </cell>
          <cell r="H474" t="str">
            <v>Cabin Air Filter</v>
          </cell>
        </row>
        <row r="475">
          <cell r="G475" t="str">
            <v>L8569F</v>
          </cell>
          <cell r="H475" t="str">
            <v>Snap-Lock Fuel Filter</v>
          </cell>
        </row>
        <row r="476">
          <cell r="G476" t="str">
            <v>LAF6684</v>
          </cell>
          <cell r="H476" t="str">
            <v>Cone-Shaped, Conical Air Filter</v>
          </cell>
        </row>
        <row r="477">
          <cell r="G477" t="str">
            <v>CAF24000XL</v>
          </cell>
          <cell r="H477" t="str">
            <v>Cabin Air Filter (Carbon) Extreme Clean</v>
          </cell>
        </row>
        <row r="478">
          <cell r="G478" t="str">
            <v>P2062</v>
          </cell>
          <cell r="H478" t="str">
            <v>Cartridge Oil Filter</v>
          </cell>
        </row>
        <row r="479">
          <cell r="G479" t="str">
            <v>LAF9498</v>
          </cell>
          <cell r="H479" t="str">
            <v>Corrugated Media Air Filter</v>
          </cell>
        </row>
        <row r="480">
          <cell r="G480" t="str">
            <v>LFP218F</v>
          </cell>
          <cell r="H480" t="str">
            <v>Spin-on Fuel Filter</v>
          </cell>
        </row>
        <row r="481">
          <cell r="G481" t="str">
            <v>PH832</v>
          </cell>
          <cell r="H481" t="str">
            <v>Spin-on Oil Filter</v>
          </cell>
        </row>
        <row r="482">
          <cell r="G482" t="str">
            <v>L9729FXL</v>
          </cell>
          <cell r="H482" t="str">
            <v>Extended Life Cartridge Fuel Water Separator Filter</v>
          </cell>
        </row>
        <row r="483">
          <cell r="G483" t="str">
            <v>P1026</v>
          </cell>
          <cell r="H483" t="str">
            <v>Cartridge Oil Filter</v>
          </cell>
        </row>
        <row r="484">
          <cell r="G484" t="str">
            <v>CAF24001</v>
          </cell>
          <cell r="H484" t="str">
            <v>Cabin Air Filter</v>
          </cell>
        </row>
        <row r="485">
          <cell r="G485" t="str">
            <v>LFP781</v>
          </cell>
          <cell r="H485" t="str">
            <v>Spin-on Oil Filter</v>
          </cell>
        </row>
        <row r="486">
          <cell r="G486" t="str">
            <v>LP44</v>
          </cell>
          <cell r="H486" t="str">
            <v>Cartridge Oil Filter</v>
          </cell>
        </row>
        <row r="487">
          <cell r="G487" t="str">
            <v>LAF2886</v>
          </cell>
          <cell r="H487" t="str">
            <v>Corrugated Media Air Filter</v>
          </cell>
        </row>
        <row r="488">
          <cell r="G488" t="str">
            <v>LAF6124</v>
          </cell>
          <cell r="H488" t="str">
            <v>Radial Seal Outer Air Filter</v>
          </cell>
        </row>
        <row r="489">
          <cell r="G489">
            <v>750</v>
          </cell>
          <cell r="H489" t="str">
            <v xml:space="preserve">Luber-finer 750 diesel filter pak, Imperial II (single element) detergent type lube oil. (4 pack case) </v>
          </cell>
        </row>
        <row r="490">
          <cell r="G490" t="str">
            <v>AF5222</v>
          </cell>
          <cell r="H490" t="str">
            <v>Rigid Panel Air Filter</v>
          </cell>
        </row>
        <row r="491">
          <cell r="G491" t="str">
            <v>LFW4685XL</v>
          </cell>
          <cell r="H491" t="str">
            <v>Extended Life Spin-on Coolant Filter</v>
          </cell>
        </row>
        <row r="492">
          <cell r="G492" t="str">
            <v>L5092F</v>
          </cell>
          <cell r="H492" t="str">
            <v>Cartridge Fuel Water Separator Filter</v>
          </cell>
        </row>
        <row r="493">
          <cell r="G493" t="str">
            <v>PH488</v>
          </cell>
          <cell r="H493" t="str">
            <v>Spin-on Oil Filter</v>
          </cell>
        </row>
        <row r="494">
          <cell r="G494" t="str">
            <v>L8872F</v>
          </cell>
          <cell r="H494" t="str">
            <v>Snap-Lock Fuel Filter</v>
          </cell>
        </row>
        <row r="495">
          <cell r="G495" t="str">
            <v>PH477</v>
          </cell>
          <cell r="H495" t="str">
            <v>Spin-on OIl Filter</v>
          </cell>
        </row>
        <row r="496">
          <cell r="G496" t="str">
            <v>L8557F</v>
          </cell>
          <cell r="H496" t="str">
            <v>Snap-Lock Fuel Filter</v>
          </cell>
        </row>
        <row r="497">
          <cell r="G497">
            <v>2788</v>
          </cell>
          <cell r="H497" t="str">
            <v>Cover Gasket, Buna-N/500-C, 750-3C, 970-C</v>
          </cell>
        </row>
        <row r="498">
          <cell r="G498" t="str">
            <v>LFP3828</v>
          </cell>
          <cell r="H498" t="str">
            <v>Spin-on Oil Filter</v>
          </cell>
        </row>
        <row r="499">
          <cell r="G499" t="str">
            <v>LFH4922</v>
          </cell>
          <cell r="H499" t="str">
            <v>Spin-on Hydraulic Filter</v>
          </cell>
        </row>
        <row r="500">
          <cell r="G500" t="str">
            <v>L7693F</v>
          </cell>
          <cell r="H500" t="str">
            <v>Cartridge Fuel Filter</v>
          </cell>
        </row>
        <row r="501">
          <cell r="G501" t="str">
            <v>LFP7217</v>
          </cell>
          <cell r="H501" t="str">
            <v>Spin-on Oil Filter</v>
          </cell>
        </row>
        <row r="502">
          <cell r="G502" t="str">
            <v>L550F</v>
          </cell>
          <cell r="H502" t="str">
            <v>Cartridge Fuel Filter</v>
          </cell>
        </row>
        <row r="503">
          <cell r="G503" t="str">
            <v>LFH8740G</v>
          </cell>
          <cell r="H503" t="str">
            <v>Spin-on Hydraulic Filter</v>
          </cell>
        </row>
        <row r="504">
          <cell r="G504" t="str">
            <v>L549F</v>
          </cell>
          <cell r="H504" t="str">
            <v>Cartridge Fuel Filter</v>
          </cell>
        </row>
        <row r="505">
          <cell r="G505" t="str">
            <v>T715A</v>
          </cell>
          <cell r="H505" t="str">
            <v>Transmission Filter Kit</v>
          </cell>
        </row>
        <row r="506">
          <cell r="G506" t="str">
            <v>LCTS11</v>
          </cell>
          <cell r="H506" t="str">
            <v>Coolant Analysis Test Kit</v>
          </cell>
        </row>
        <row r="507">
          <cell r="G507" t="str">
            <v>AF5196</v>
          </cell>
          <cell r="H507" t="str">
            <v>Rigid Panel Air Filter</v>
          </cell>
        </row>
        <row r="508">
          <cell r="G508" t="str">
            <v>LFF8678</v>
          </cell>
          <cell r="H508" t="str">
            <v>Spin-on Fuel Filter</v>
          </cell>
        </row>
        <row r="509">
          <cell r="G509" t="str">
            <v>WHG481FK</v>
          </cell>
          <cell r="H509" t="str">
            <v>Fuel Filter Adaptor and filter</v>
          </cell>
        </row>
        <row r="510">
          <cell r="G510" t="str">
            <v>LFP2265</v>
          </cell>
          <cell r="H510" t="str">
            <v>Spin-on Oil Filter</v>
          </cell>
        </row>
        <row r="511">
          <cell r="G511" t="str">
            <v>LFF3807</v>
          </cell>
          <cell r="H511" t="str">
            <v>Spin-on Fuel Filter</v>
          </cell>
        </row>
        <row r="512">
          <cell r="G512" t="str">
            <v>LAF3585</v>
          </cell>
          <cell r="H512" t="str">
            <v>Radial Seal Inner Air Filter</v>
          </cell>
        </row>
        <row r="513">
          <cell r="G513" t="str">
            <v>PH2875</v>
          </cell>
          <cell r="H513" t="str">
            <v>Spin-on Oil Filter</v>
          </cell>
        </row>
        <row r="514">
          <cell r="G514" t="str">
            <v>LP132</v>
          </cell>
          <cell r="H514" t="str">
            <v>Cartridge Oil Filter</v>
          </cell>
        </row>
        <row r="515">
          <cell r="G515" t="str">
            <v>L8874FK</v>
          </cell>
          <cell r="H515" t="str">
            <v>Fuel Filter Kit Primary/Secondary</v>
          </cell>
        </row>
        <row r="516">
          <cell r="G516" t="str">
            <v>LAF1956</v>
          </cell>
          <cell r="H516" t="str">
            <v>Radial Seal Inner Air Filter</v>
          </cell>
        </row>
        <row r="517">
          <cell r="G517" t="str">
            <v>LAF9543</v>
          </cell>
          <cell r="H517" t="str">
            <v>Radial Seal Inner Air Filter</v>
          </cell>
        </row>
        <row r="518">
          <cell r="G518" t="str">
            <v>LAF2533</v>
          </cell>
          <cell r="H518" t="str">
            <v>Disposible Housing Air Filter</v>
          </cell>
        </row>
        <row r="519">
          <cell r="G519" t="str">
            <v>2788B</v>
          </cell>
          <cell r="H519" t="str">
            <v>Luberfiner 500 and 750 cover gasket</v>
          </cell>
        </row>
        <row r="520">
          <cell r="G520" t="str">
            <v>AF5201</v>
          </cell>
          <cell r="H520" t="str">
            <v>Rigid Panel Air Filter</v>
          </cell>
        </row>
        <row r="521">
          <cell r="G521" t="str">
            <v>LAF8730</v>
          </cell>
          <cell r="H521" t="str">
            <v>Radial Seal Outer Air Filter</v>
          </cell>
        </row>
        <row r="522">
          <cell r="G522" t="str">
            <v>AF905</v>
          </cell>
          <cell r="H522" t="str">
            <v>Round Air Filter</v>
          </cell>
        </row>
        <row r="523">
          <cell r="G523" t="str">
            <v>L3101F</v>
          </cell>
          <cell r="H523" t="str">
            <v>Snap-lock Fuel/Water Separator Filter</v>
          </cell>
        </row>
        <row r="524">
          <cell r="G524" t="str">
            <v>LFF9608</v>
          </cell>
          <cell r="H524" t="str">
            <v>Spin-on Fuel Filter</v>
          </cell>
        </row>
        <row r="525">
          <cell r="G525" t="str">
            <v>LAF4509</v>
          </cell>
          <cell r="H525" t="str">
            <v>Radial Seal Outer Air Filter</v>
          </cell>
        </row>
        <row r="526">
          <cell r="G526" t="str">
            <v>AF3590</v>
          </cell>
          <cell r="H526" t="str">
            <v>Flexible Panel Air Filter</v>
          </cell>
        </row>
        <row r="527">
          <cell r="G527" t="str">
            <v>LAF190</v>
          </cell>
          <cell r="H527" t="str">
            <v>Round Plastisol Air Filter</v>
          </cell>
        </row>
        <row r="528">
          <cell r="G528" t="str">
            <v>G1010</v>
          </cell>
          <cell r="H528" t="str">
            <v>In-Line Fuel Filter</v>
          </cell>
        </row>
        <row r="529">
          <cell r="G529" t="str">
            <v>LAF3714</v>
          </cell>
          <cell r="H529" t="str">
            <v>HD Metal-End Air Filter</v>
          </cell>
        </row>
        <row r="530">
          <cell r="G530" t="str">
            <v>LFH5011-10</v>
          </cell>
          <cell r="H530" t="str">
            <v>Spin-on Hydraulic Filter</v>
          </cell>
        </row>
        <row r="531">
          <cell r="G531" t="str">
            <v>L9559F</v>
          </cell>
          <cell r="H531" t="str">
            <v>Cartridge Fuel Filter</v>
          </cell>
        </row>
        <row r="532">
          <cell r="G532" t="str">
            <v>AF7878</v>
          </cell>
          <cell r="H532" t="str">
            <v>Flexible Panel Air Filter</v>
          </cell>
        </row>
        <row r="533">
          <cell r="G533" t="str">
            <v>AF5206</v>
          </cell>
          <cell r="H533" t="str">
            <v>Rigid Panel Air Filter</v>
          </cell>
        </row>
        <row r="534">
          <cell r="G534" t="str">
            <v>LAF5932</v>
          </cell>
          <cell r="H534" t="str">
            <v>Radial Seal Inner Air Filter Inner</v>
          </cell>
        </row>
        <row r="535">
          <cell r="G535" t="str">
            <v>AF2962</v>
          </cell>
          <cell r="H535" t="str">
            <v>Flexible Panel Air Filter</v>
          </cell>
        </row>
        <row r="536">
          <cell r="G536" t="str">
            <v>LAF5871</v>
          </cell>
          <cell r="H536" t="str">
            <v>Radial Seal Outer Air Filter</v>
          </cell>
        </row>
        <row r="537">
          <cell r="G537" t="str">
            <v>LFF15</v>
          </cell>
          <cell r="H537" t="str">
            <v>Fuel Dispensing Filter</v>
          </cell>
        </row>
        <row r="538">
          <cell r="G538" t="str">
            <v>LFH5011-03</v>
          </cell>
          <cell r="H538" t="str">
            <v>Spin-on Hydraulic Filter</v>
          </cell>
        </row>
        <row r="539">
          <cell r="G539" t="str">
            <v>LFH4987</v>
          </cell>
          <cell r="H539" t="str">
            <v>Spin-on Hydraulic Filter</v>
          </cell>
        </row>
        <row r="540">
          <cell r="G540" t="str">
            <v>LFP947</v>
          </cell>
          <cell r="H540" t="str">
            <v>Spin-on Oil Filter</v>
          </cell>
        </row>
        <row r="541">
          <cell r="G541" t="str">
            <v>LFP9035</v>
          </cell>
          <cell r="H541" t="str">
            <v>Spin-on Oil Filter</v>
          </cell>
        </row>
        <row r="542">
          <cell r="G542" t="str">
            <v>LP161</v>
          </cell>
          <cell r="H542" t="str">
            <v>Cartridge Oil Filter</v>
          </cell>
        </row>
        <row r="543">
          <cell r="G543" t="str">
            <v>LFF8350</v>
          </cell>
          <cell r="H543" t="str">
            <v>Spin-on Fuel Filter</v>
          </cell>
        </row>
        <row r="544">
          <cell r="G544" t="str">
            <v>LAF8727</v>
          </cell>
          <cell r="H544" t="str">
            <v>HD Metal-End Air Filter</v>
          </cell>
        </row>
        <row r="545">
          <cell r="G545" t="str">
            <v>LAF5980</v>
          </cell>
          <cell r="H545" t="str">
            <v>Flexible Panel Air Filter</v>
          </cell>
        </row>
        <row r="546">
          <cell r="G546" t="str">
            <v>LAF3350</v>
          </cell>
          <cell r="H546" t="str">
            <v>Round Air Filter</v>
          </cell>
        </row>
        <row r="547">
          <cell r="G547" t="str">
            <v>LFP8845</v>
          </cell>
          <cell r="H547" t="str">
            <v>Brake Dryer Water Coalescer Filter (Other)</v>
          </cell>
        </row>
        <row r="548">
          <cell r="G548" t="str">
            <v>LAF1745</v>
          </cell>
          <cell r="H548" t="str">
            <v>Cone Shaped Conical Air Filter</v>
          </cell>
        </row>
        <row r="549">
          <cell r="G549" t="str">
            <v>LFP2244</v>
          </cell>
          <cell r="H549" t="str">
            <v>Spin-on Oil Filter</v>
          </cell>
        </row>
        <row r="550">
          <cell r="G550" t="str">
            <v>LP3964</v>
          </cell>
          <cell r="H550" t="str">
            <v>Cartridge Oil Filter</v>
          </cell>
        </row>
        <row r="551">
          <cell r="G551" t="str">
            <v>LFP3307</v>
          </cell>
          <cell r="H551" t="str">
            <v>Spin-on Oil Filter</v>
          </cell>
        </row>
        <row r="552">
          <cell r="G552" t="str">
            <v>LAF1810</v>
          </cell>
          <cell r="H552" t="str">
            <v>HD Round Air Filter with Attached Boot</v>
          </cell>
        </row>
        <row r="553">
          <cell r="G553" t="str">
            <v>LAF4365</v>
          </cell>
          <cell r="H553" t="str">
            <v>HD Metal-End Air Filter</v>
          </cell>
        </row>
        <row r="554">
          <cell r="G554" t="str">
            <v>LFF6816</v>
          </cell>
          <cell r="H554" t="str">
            <v>Spin-on Fuel Filter</v>
          </cell>
        </row>
        <row r="555">
          <cell r="G555" t="str">
            <v>LAF2079</v>
          </cell>
          <cell r="H555" t="str">
            <v>HD Metal-End Air Filter with Attached Lid</v>
          </cell>
        </row>
        <row r="556">
          <cell r="G556" t="str">
            <v>PH8862</v>
          </cell>
          <cell r="H556" t="str">
            <v>Spin-on Oil Filter</v>
          </cell>
        </row>
        <row r="557">
          <cell r="G557" t="str">
            <v>LAF3947</v>
          </cell>
          <cell r="H557" t="str">
            <v>Radial Seal Outer Air Filter</v>
          </cell>
        </row>
        <row r="558">
          <cell r="G558" t="str">
            <v>LFF8038</v>
          </cell>
          <cell r="H558" t="str">
            <v>Spin-on Fuel Water Separator Filter</v>
          </cell>
        </row>
        <row r="559">
          <cell r="G559" t="str">
            <v>LFP8469</v>
          </cell>
          <cell r="H559" t="str">
            <v>Spin-on Oil Filter</v>
          </cell>
        </row>
        <row r="560">
          <cell r="G560" t="str">
            <v>CAF1885P</v>
          </cell>
          <cell r="H560" t="str">
            <v>Cabin Air Filter</v>
          </cell>
        </row>
        <row r="561">
          <cell r="G561" t="str">
            <v>LFF1021</v>
          </cell>
          <cell r="H561" t="str">
            <v>Spin-on Fuel Filter</v>
          </cell>
        </row>
        <row r="562">
          <cell r="G562" t="str">
            <v>L3531F</v>
          </cell>
          <cell r="H562" t="str">
            <v>Cartridge Fuel Filter</v>
          </cell>
        </row>
        <row r="563">
          <cell r="G563" t="str">
            <v>LAF4501</v>
          </cell>
          <cell r="H563" t="str">
            <v>Radial Seal Outer Air Filter</v>
          </cell>
        </row>
        <row r="564">
          <cell r="G564" t="str">
            <v>PH2819</v>
          </cell>
          <cell r="H564" t="str">
            <v>Spin-on Oil Filter</v>
          </cell>
        </row>
        <row r="565">
          <cell r="G565" t="str">
            <v>LFF5851U</v>
          </cell>
          <cell r="H565" t="str">
            <v>Bowless Fuel Water Separator Filter</v>
          </cell>
        </row>
        <row r="566">
          <cell r="G566" t="str">
            <v>P967</v>
          </cell>
          <cell r="H566" t="str">
            <v>Cartridge Oil Filter</v>
          </cell>
        </row>
        <row r="567">
          <cell r="G567" t="str">
            <v>LAF9410</v>
          </cell>
          <cell r="H567" t="str">
            <v>HD Metal-End Air Filter-Inner</v>
          </cell>
        </row>
        <row r="568">
          <cell r="G568" t="str">
            <v>L4597F</v>
          </cell>
          <cell r="H568" t="str">
            <v>Cartridge Fuel Water Separator Filter</v>
          </cell>
        </row>
        <row r="569">
          <cell r="G569" t="str">
            <v>PH3942</v>
          </cell>
          <cell r="H569" t="str">
            <v>Spin-on Oil Filter</v>
          </cell>
        </row>
        <row r="570">
          <cell r="G570" t="str">
            <v>LAF3234</v>
          </cell>
          <cell r="H570" t="str">
            <v>Special Configuration Air Filter</v>
          </cell>
        </row>
        <row r="571">
          <cell r="G571" t="str">
            <v>LAF4510</v>
          </cell>
          <cell r="H571" t="str">
            <v>Radial Seal Inner Air Filter</v>
          </cell>
        </row>
        <row r="572">
          <cell r="G572" t="str">
            <v>LAF1769</v>
          </cell>
          <cell r="H572" t="str">
            <v>Cone Shaped Conical Air Filter</v>
          </cell>
        </row>
        <row r="573">
          <cell r="G573" t="str">
            <v>LAF6453</v>
          </cell>
          <cell r="H573" t="str">
            <v>HD Round Air Filter with Attached Boot</v>
          </cell>
        </row>
        <row r="574">
          <cell r="G574" t="str">
            <v>LFF9616</v>
          </cell>
          <cell r="H574" t="str">
            <v>Spin-on Fuel Water Separator Filter</v>
          </cell>
        </row>
        <row r="575">
          <cell r="G575">
            <v>750</v>
          </cell>
          <cell r="H575" t="str">
            <v>Refining Pak Filter, LF750-C used on straight mineral oil, hydraulic fluids, fuel oils, etc.</v>
          </cell>
        </row>
        <row r="576">
          <cell r="G576" t="str">
            <v>LFF5778</v>
          </cell>
          <cell r="H576" t="str">
            <v>Spin-on Fuel Water Separator Filter</v>
          </cell>
        </row>
        <row r="577">
          <cell r="G577" t="str">
            <v>LAF1891</v>
          </cell>
          <cell r="H577" t="str">
            <v>HD Metal-End Air Filter</v>
          </cell>
        </row>
        <row r="578">
          <cell r="G578" t="str">
            <v>LFF5088</v>
          </cell>
          <cell r="H578" t="str">
            <v>Spin-on Fuel Filter</v>
          </cell>
        </row>
        <row r="579">
          <cell r="G579" t="str">
            <v>LAF7640</v>
          </cell>
          <cell r="H579" t="str">
            <v>HD Metal-End Inner Air Filter</v>
          </cell>
        </row>
        <row r="580">
          <cell r="G580" t="str">
            <v>LFH5013</v>
          </cell>
          <cell r="H580" t="str">
            <v>Spin-on Hydraulic Filter</v>
          </cell>
        </row>
        <row r="581">
          <cell r="G581" t="str">
            <v>L8681F</v>
          </cell>
          <cell r="H581" t="str">
            <v>Snap-Lock Fuel Filter</v>
          </cell>
        </row>
        <row r="582">
          <cell r="G582" t="str">
            <v>LFF8472</v>
          </cell>
          <cell r="H582" t="str">
            <v>Fuel/Water Separator Spin-on Filter</v>
          </cell>
        </row>
        <row r="583">
          <cell r="G583" t="str">
            <v>PH4408</v>
          </cell>
          <cell r="H583" t="str">
            <v>Spin-on Oil Filter</v>
          </cell>
        </row>
        <row r="584">
          <cell r="G584" t="str">
            <v>LAF6300</v>
          </cell>
          <cell r="H584" t="str">
            <v>Metal-End Air Filter with Closed Top End Cap</v>
          </cell>
        </row>
        <row r="585">
          <cell r="G585" t="str">
            <v>P7013</v>
          </cell>
          <cell r="H585" t="str">
            <v>Cartridge Oil Filter</v>
          </cell>
        </row>
        <row r="586">
          <cell r="G586" t="str">
            <v>CAF24021</v>
          </cell>
          <cell r="H586" t="str">
            <v>Cabin Air Filter</v>
          </cell>
        </row>
        <row r="587">
          <cell r="G587" t="str">
            <v>LH9394</v>
          </cell>
          <cell r="H587" t="str">
            <v>Cartridge Power Steering (Hydraulic) Filter</v>
          </cell>
        </row>
        <row r="588">
          <cell r="G588" t="str">
            <v>LFH5068-10</v>
          </cell>
          <cell r="H588" t="str">
            <v>Spin-on Hydraulic Filter</v>
          </cell>
        </row>
        <row r="589">
          <cell r="G589" t="str">
            <v>AF697</v>
          </cell>
          <cell r="H589" t="str">
            <v>Round Air Filter</v>
          </cell>
        </row>
        <row r="590">
          <cell r="G590" t="str">
            <v>G1/4</v>
          </cell>
          <cell r="H590" t="str">
            <v>In-Line Fuel Filter</v>
          </cell>
        </row>
        <row r="591">
          <cell r="G591" t="str">
            <v>LAF9001</v>
          </cell>
          <cell r="H591" t="str">
            <v>Finned Vane Air Filter</v>
          </cell>
        </row>
        <row r="592">
          <cell r="G592" t="str">
            <v>LAF6769</v>
          </cell>
          <cell r="H592" t="str">
            <v>HD Metal-End Air Filter</v>
          </cell>
        </row>
        <row r="593">
          <cell r="G593" t="str">
            <v>LFF8707U</v>
          </cell>
          <cell r="H593" t="str">
            <v>Bowless Fuel Water Separator Filter</v>
          </cell>
        </row>
        <row r="594">
          <cell r="G594">
            <v>2831</v>
          </cell>
          <cell r="H594" t="str">
            <v>Cover Gasket, Buna-N/272-C, 363-C</v>
          </cell>
        </row>
        <row r="595">
          <cell r="G595" t="str">
            <v>LK363T</v>
          </cell>
          <cell r="H595" t="str">
            <v>Thermo King Engine Maintenance Kit</v>
          </cell>
        </row>
        <row r="596">
          <cell r="G596" t="str">
            <v>LAF334</v>
          </cell>
          <cell r="H596" t="str">
            <v>HD Metal-End Air Filter</v>
          </cell>
        </row>
        <row r="597">
          <cell r="G597" t="str">
            <v>LFP6228</v>
          </cell>
          <cell r="H597" t="str">
            <v>Spin-on Oil Filter</v>
          </cell>
        </row>
        <row r="598">
          <cell r="G598" t="str">
            <v>LAF1751</v>
          </cell>
          <cell r="H598" t="str">
            <v>Disposible Housing Air Filter</v>
          </cell>
        </row>
        <row r="599">
          <cell r="G599" t="str">
            <v>LAF9085</v>
          </cell>
          <cell r="H599" t="str">
            <v>HD Metal-End Inner Air Filter</v>
          </cell>
        </row>
        <row r="600">
          <cell r="G600" t="str">
            <v>LAF2031</v>
          </cell>
          <cell r="H600" t="str">
            <v>Radial Seal Outer Air Filter</v>
          </cell>
        </row>
        <row r="601">
          <cell r="G601" t="str">
            <v>LAF1821</v>
          </cell>
          <cell r="H601" t="str">
            <v>Disposible Housing Air Filter</v>
          </cell>
        </row>
        <row r="602">
          <cell r="G602" t="str">
            <v>P1017</v>
          </cell>
          <cell r="H602" t="str">
            <v>Cartridge Oil Filter</v>
          </cell>
        </row>
        <row r="603">
          <cell r="G603" t="str">
            <v>FP888</v>
          </cell>
          <cell r="H603" t="str">
            <v>Box Type Fuel Filter</v>
          </cell>
        </row>
        <row r="604">
          <cell r="G604" t="str">
            <v>LAF8996</v>
          </cell>
          <cell r="H604" t="str">
            <v>Flexible Panel Air Filter</v>
          </cell>
        </row>
        <row r="605">
          <cell r="G605" t="str">
            <v>T217</v>
          </cell>
          <cell r="H605" t="str">
            <v>Transmission Filter Kit</v>
          </cell>
        </row>
        <row r="606">
          <cell r="G606" t="str">
            <v>LK366C</v>
          </cell>
          <cell r="H606" t="str">
            <v>Cummins Maintenance Kit</v>
          </cell>
        </row>
        <row r="607">
          <cell r="G607" t="str">
            <v>LFP959F</v>
          </cell>
          <cell r="H607" t="str">
            <v>Spin-on Fuel Filter</v>
          </cell>
        </row>
        <row r="608">
          <cell r="G608" t="str">
            <v>AF5233</v>
          </cell>
          <cell r="H608" t="str">
            <v>Air Filter</v>
          </cell>
        </row>
        <row r="609">
          <cell r="G609" t="str">
            <v>P1014</v>
          </cell>
          <cell r="H609" t="str">
            <v>Cartridge Oil Filter</v>
          </cell>
        </row>
        <row r="610">
          <cell r="G610" t="str">
            <v>LAF4506</v>
          </cell>
          <cell r="H610" t="str">
            <v>Radial Seal Inner Air Filter</v>
          </cell>
        </row>
        <row r="611">
          <cell r="G611" t="str">
            <v>LAF1988</v>
          </cell>
          <cell r="H611" t="str">
            <v>Spin-on Air Filter</v>
          </cell>
        </row>
        <row r="612">
          <cell r="G612" t="str">
            <v>LAF5980FP</v>
          </cell>
          <cell r="H612" t="str">
            <v>Flexible Panel Air Filter with Attached Foam Pad</v>
          </cell>
        </row>
        <row r="613">
          <cell r="G613" t="str">
            <v>T709</v>
          </cell>
          <cell r="H613" t="str">
            <v>Transmission Filter Kit</v>
          </cell>
        </row>
        <row r="614">
          <cell r="G614" t="str">
            <v>G243</v>
          </cell>
          <cell r="H614" t="str">
            <v>In-Line Fuel Filter</v>
          </cell>
        </row>
        <row r="615">
          <cell r="G615" t="str">
            <v>P979</v>
          </cell>
          <cell r="H615" t="str">
            <v>Cartridge Oil Filter</v>
          </cell>
        </row>
        <row r="616">
          <cell r="G616" t="str">
            <v>LAF1793</v>
          </cell>
          <cell r="H616" t="str">
            <v>HD Metal-End Air Filter-Inner</v>
          </cell>
        </row>
        <row r="617">
          <cell r="G617" t="str">
            <v>LFH4988</v>
          </cell>
          <cell r="H617" t="str">
            <v>Spin-on Hydraulic Filter</v>
          </cell>
        </row>
        <row r="618">
          <cell r="G618" t="str">
            <v>LAF6243</v>
          </cell>
          <cell r="H618" t="str">
            <v>Radial Seal Air Filter (Primary)</v>
          </cell>
        </row>
        <row r="619">
          <cell r="G619" t="str">
            <v>L540F</v>
          </cell>
          <cell r="H619" t="str">
            <v>Cartridge Fuel Filter</v>
          </cell>
        </row>
        <row r="620">
          <cell r="G620" t="str">
            <v>LFF3534</v>
          </cell>
          <cell r="H620" t="str">
            <v>Spin-on Fuel Filter</v>
          </cell>
        </row>
        <row r="621">
          <cell r="G621" t="str">
            <v>LP2029</v>
          </cell>
          <cell r="H621" t="str">
            <v>Cartridge Oil Filter</v>
          </cell>
        </row>
        <row r="622">
          <cell r="G622" t="str">
            <v>LAF3781</v>
          </cell>
          <cell r="H622" t="str">
            <v>Radial Seal Inner Air Filter</v>
          </cell>
        </row>
        <row r="623">
          <cell r="G623" t="str">
            <v>364F</v>
          </cell>
          <cell r="H623" t="str">
            <v>Cartridge Fuel Filter</v>
          </cell>
        </row>
        <row r="624">
          <cell r="G624" t="str">
            <v>LAF8694</v>
          </cell>
          <cell r="H624" t="str">
            <v>Radial Seal Outer Air Filter</v>
          </cell>
        </row>
        <row r="625">
          <cell r="G625" t="str">
            <v>AF6900</v>
          </cell>
          <cell r="H625" t="str">
            <v>Panel Air Irregular Shaped Filter</v>
          </cell>
        </row>
        <row r="626">
          <cell r="G626" t="str">
            <v>LAF1765</v>
          </cell>
          <cell r="H626" t="str">
            <v>HD Metal-End Inner Air Filter</v>
          </cell>
        </row>
        <row r="627">
          <cell r="G627" t="str">
            <v>P70</v>
          </cell>
          <cell r="H627" t="str">
            <v>Cartridge Oil Filter</v>
          </cell>
        </row>
        <row r="628">
          <cell r="G628" t="str">
            <v>AF5207</v>
          </cell>
          <cell r="H628" t="str">
            <v>Flexible Panel Air Filter</v>
          </cell>
        </row>
        <row r="629">
          <cell r="G629" t="str">
            <v>LFF9954</v>
          </cell>
          <cell r="H629" t="str">
            <v>Spin-on Fuel Filter</v>
          </cell>
        </row>
        <row r="630">
          <cell r="G630" t="str">
            <v>T646</v>
          </cell>
          <cell r="H630" t="str">
            <v>Transmission Filter Kit</v>
          </cell>
        </row>
        <row r="631">
          <cell r="G631" t="str">
            <v>G6529</v>
          </cell>
          <cell r="H631" t="str">
            <v>In-Line Fuel Filter</v>
          </cell>
        </row>
        <row r="632">
          <cell r="G632" t="str">
            <v>LAF4714</v>
          </cell>
          <cell r="H632" t="str">
            <v>Rigid Panel Air Filter</v>
          </cell>
        </row>
        <row r="633">
          <cell r="G633" t="str">
            <v>750</v>
          </cell>
          <cell r="H633" t="str">
            <v>LF750 microcell pak-reduce fluid content to extremely low level</v>
          </cell>
        </row>
        <row r="634">
          <cell r="G634" t="str">
            <v>LFF3545</v>
          </cell>
          <cell r="H634" t="str">
            <v>Spin-on Fuel Filter</v>
          </cell>
        </row>
        <row r="635">
          <cell r="G635" t="str">
            <v>L5788F</v>
          </cell>
          <cell r="H635" t="str">
            <v>Cartridge Fuel Filter</v>
          </cell>
        </row>
        <row r="636">
          <cell r="G636" t="str">
            <v>LFF9013</v>
          </cell>
          <cell r="H636" t="str">
            <v>Bowl Style Fuel Water Separator Filter</v>
          </cell>
        </row>
        <row r="637">
          <cell r="G637" t="str">
            <v>LAF2551</v>
          </cell>
          <cell r="H637" t="str">
            <v>Disposible Housing Air Filter</v>
          </cell>
        </row>
        <row r="638">
          <cell r="G638" t="str">
            <v>L3258F</v>
          </cell>
          <cell r="H638" t="str">
            <v>Cartridge Fuel Filter</v>
          </cell>
        </row>
        <row r="639">
          <cell r="G639" t="str">
            <v>LAF8597</v>
          </cell>
          <cell r="H639" t="str">
            <v>Round Air Filter</v>
          </cell>
        </row>
        <row r="640">
          <cell r="G640" t="str">
            <v>LFF4511-30</v>
          </cell>
          <cell r="H640" t="str">
            <v>Fuel Dispensing Filter</v>
          </cell>
        </row>
        <row r="641">
          <cell r="G641" t="str">
            <v>LFF5824U</v>
          </cell>
          <cell r="H641" t="str">
            <v>Bowless Fuel Water Separator Filter</v>
          </cell>
        </row>
        <row r="642">
          <cell r="G642" t="str">
            <v>LAF5810</v>
          </cell>
          <cell r="H642" t="str">
            <v>Disposible Housing Air Filter</v>
          </cell>
        </row>
        <row r="643">
          <cell r="G643" t="str">
            <v>LAF4191</v>
          </cell>
          <cell r="H643" t="str">
            <v>Rigid Panel Air Filter</v>
          </cell>
        </row>
        <row r="644">
          <cell r="G644" t="str">
            <v>LAF959</v>
          </cell>
          <cell r="H644" t="str">
            <v>Cone Shaped Conical Air Filter</v>
          </cell>
        </row>
        <row r="645">
          <cell r="G645" t="str">
            <v>LAF1849MXM</v>
          </cell>
          <cell r="H645" t="str">
            <v>Nano Tech HD Metal-End Air Filter Outer</v>
          </cell>
        </row>
        <row r="646">
          <cell r="G646" t="str">
            <v>L8682F</v>
          </cell>
          <cell r="H646" t="str">
            <v>Snap-Lock Fuel Filter</v>
          </cell>
        </row>
        <row r="647">
          <cell r="G647" t="str">
            <v>LAF1848</v>
          </cell>
          <cell r="H647" t="str">
            <v>Disposible Housing Air Filter</v>
          </cell>
        </row>
        <row r="648">
          <cell r="G648" t="str">
            <v>LAF6113</v>
          </cell>
          <cell r="H648" t="str">
            <v>Spin-on Coalescer Air Filter</v>
          </cell>
        </row>
        <row r="649">
          <cell r="G649" t="str">
            <v>AF217</v>
          </cell>
          <cell r="H649" t="str">
            <v>Round Air Filter</v>
          </cell>
        </row>
        <row r="650">
          <cell r="G650" t="str">
            <v>LFH5011-25</v>
          </cell>
          <cell r="H650" t="str">
            <v>Spin-on Hydraulic Filter</v>
          </cell>
        </row>
        <row r="651">
          <cell r="G651" t="str">
            <v>LAF8789</v>
          </cell>
          <cell r="H651" t="str">
            <v>Radial Seal Outer Air Filter</v>
          </cell>
        </row>
        <row r="652">
          <cell r="G652" t="str">
            <v>LFP54</v>
          </cell>
          <cell r="H652" t="str">
            <v>Spin-on Oil Filter</v>
          </cell>
        </row>
        <row r="653">
          <cell r="G653" t="str">
            <v>LFP2698</v>
          </cell>
          <cell r="H653" t="str">
            <v>Spin-on Oil Filter</v>
          </cell>
        </row>
        <row r="654">
          <cell r="G654" t="str">
            <v>LFH4926</v>
          </cell>
          <cell r="H654" t="str">
            <v>Spin-on Hydraulic Filter</v>
          </cell>
        </row>
        <row r="655">
          <cell r="G655" t="str">
            <v>AF104</v>
          </cell>
          <cell r="H655" t="str">
            <v>Round Air Filter</v>
          </cell>
        </row>
        <row r="656">
          <cell r="G656" t="str">
            <v>LAF1465</v>
          </cell>
          <cell r="H656" t="str">
            <v>HD Metal-End Air Filter</v>
          </cell>
        </row>
        <row r="657">
          <cell r="G657" t="str">
            <v>LFF7415</v>
          </cell>
          <cell r="H657" t="str">
            <v>Spin-on Fuel Water Separator Filter</v>
          </cell>
        </row>
        <row r="658">
          <cell r="G658" t="str">
            <v>AF3174</v>
          </cell>
          <cell r="H658" t="str">
            <v>Flexible Panel Air Filter</v>
          </cell>
        </row>
        <row r="659">
          <cell r="G659" t="str">
            <v>CAF1817P</v>
          </cell>
          <cell r="H659" t="str">
            <v>Cabin Air Filter</v>
          </cell>
        </row>
        <row r="660">
          <cell r="G660" t="str">
            <v>LFF9594</v>
          </cell>
          <cell r="H660" t="str">
            <v>Spin-on Fuel Filter</v>
          </cell>
        </row>
        <row r="661">
          <cell r="G661" t="str">
            <v>LFF5406</v>
          </cell>
          <cell r="H661" t="str">
            <v>Spin-on Fuel Filter</v>
          </cell>
        </row>
        <row r="662">
          <cell r="G662" t="str">
            <v>G6367</v>
          </cell>
          <cell r="H662" t="str">
            <v>In-Line Fuel Filter</v>
          </cell>
        </row>
        <row r="663">
          <cell r="G663" t="str">
            <v>LFP2200C</v>
          </cell>
          <cell r="H663" t="str">
            <v>Spin-on Fuel Water Separator Coalescer Filter</v>
          </cell>
        </row>
        <row r="664">
          <cell r="G664" t="str">
            <v>LFP923</v>
          </cell>
          <cell r="H664" t="str">
            <v>Spin-on Oil Filter</v>
          </cell>
        </row>
        <row r="665">
          <cell r="G665" t="str">
            <v>AF70</v>
          </cell>
          <cell r="H665" t="str">
            <v>Round Air Filter</v>
          </cell>
        </row>
        <row r="666">
          <cell r="G666" t="str">
            <v>G1</v>
          </cell>
          <cell r="H666" t="str">
            <v>In-Line Fuel Filter</v>
          </cell>
        </row>
        <row r="667">
          <cell r="G667" t="str">
            <v>L5098F</v>
          </cell>
          <cell r="H667" t="str">
            <v>Cartridge Fuel Filter</v>
          </cell>
        </row>
        <row r="668">
          <cell r="G668" t="str">
            <v>AF6908</v>
          </cell>
          <cell r="H668" t="str">
            <v>Radial Seal Air Filter</v>
          </cell>
        </row>
        <row r="669">
          <cell r="G669" t="str">
            <v>LP164</v>
          </cell>
          <cell r="H669" t="str">
            <v>Cartridge Oil Filter</v>
          </cell>
        </row>
        <row r="670">
          <cell r="G670" t="str">
            <v>CAF1816C</v>
          </cell>
          <cell r="H670" t="str">
            <v>Cabin Air Filter (Carbon)</v>
          </cell>
        </row>
        <row r="671">
          <cell r="G671" t="str">
            <v>P346</v>
          </cell>
          <cell r="H671" t="str">
            <v>Cartridge Hydraulic Filter</v>
          </cell>
        </row>
        <row r="672">
          <cell r="G672" t="str">
            <v>LFF3293</v>
          </cell>
          <cell r="H672" t="str">
            <v>Bowl Style Fuel Water Separator Filter</v>
          </cell>
        </row>
        <row r="673">
          <cell r="G673" t="str">
            <v>LFP5084</v>
          </cell>
          <cell r="H673" t="str">
            <v>Spin-on Oil Filter</v>
          </cell>
        </row>
        <row r="674">
          <cell r="G674" t="str">
            <v>AF3171</v>
          </cell>
          <cell r="H674" t="str">
            <v>Flexible Panel Air Filter</v>
          </cell>
        </row>
        <row r="675">
          <cell r="G675" t="str">
            <v>L3580F</v>
          </cell>
          <cell r="H675" t="str">
            <v>Cartridge Fuel Water Separator Filter</v>
          </cell>
        </row>
        <row r="676">
          <cell r="G676" t="str">
            <v>PH7028</v>
          </cell>
          <cell r="H676" t="str">
            <v>Spin-on Oil Filter</v>
          </cell>
        </row>
        <row r="677">
          <cell r="G677" t="str">
            <v>AF208</v>
          </cell>
          <cell r="H677" t="str">
            <v>Round Air Filter</v>
          </cell>
        </row>
        <row r="678">
          <cell r="G678" t="str">
            <v>P1027</v>
          </cell>
          <cell r="H678" t="str">
            <v>Cartridge Oil Filter</v>
          </cell>
        </row>
        <row r="679">
          <cell r="G679">
            <v>272</v>
          </cell>
          <cell r="H679" t="str">
            <v>Detergent Type Oil Filter, Luber-finer 272-C, Diesel Pak</v>
          </cell>
        </row>
        <row r="680">
          <cell r="G680" t="str">
            <v>LAF2521</v>
          </cell>
          <cell r="H680" t="str">
            <v>Disposible Housing Air Filter</v>
          </cell>
        </row>
        <row r="681">
          <cell r="G681" t="str">
            <v>AF3612</v>
          </cell>
          <cell r="H681" t="str">
            <v>Rigid Panel Air Filter</v>
          </cell>
        </row>
        <row r="682">
          <cell r="G682" t="str">
            <v>LFP936F</v>
          </cell>
          <cell r="H682" t="str">
            <v>Spin-on Fuel Filter</v>
          </cell>
        </row>
        <row r="683">
          <cell r="G683" t="str">
            <v>LFF6929</v>
          </cell>
          <cell r="H683" t="str">
            <v>Spin-on Fuel Filter</v>
          </cell>
        </row>
        <row r="684">
          <cell r="G684" t="str">
            <v>LFF3886</v>
          </cell>
          <cell r="H684" t="str">
            <v>Spin-on Fuel Filter</v>
          </cell>
        </row>
        <row r="685">
          <cell r="G685" t="str">
            <v>LAF2745A</v>
          </cell>
          <cell r="H685" t="str">
            <v>Finned Vane Air Filter</v>
          </cell>
        </row>
        <row r="686">
          <cell r="G686" t="str">
            <v>LFH8399</v>
          </cell>
          <cell r="H686" t="str">
            <v>Spin-on Hydraulic Filter</v>
          </cell>
        </row>
        <row r="687">
          <cell r="G687" t="str">
            <v>LP163</v>
          </cell>
          <cell r="H687" t="str">
            <v>Cartridge Oil Filter</v>
          </cell>
        </row>
        <row r="688">
          <cell r="G688" t="str">
            <v>P1069</v>
          </cell>
          <cell r="H688" t="str">
            <v>Cartridge Oil Filter</v>
          </cell>
        </row>
        <row r="689">
          <cell r="G689" t="str">
            <v>P980</v>
          </cell>
          <cell r="H689" t="str">
            <v>Cartridge Oil Filter</v>
          </cell>
        </row>
        <row r="690">
          <cell r="G690" t="str">
            <v>LFH8490</v>
          </cell>
          <cell r="H690" t="str">
            <v>Spin-on Hydraulic Filter</v>
          </cell>
        </row>
        <row r="691">
          <cell r="G691" t="str">
            <v>LAF4273</v>
          </cell>
          <cell r="H691" t="str">
            <v>Radial Seal Outer Air Filter</v>
          </cell>
        </row>
        <row r="692">
          <cell r="G692" t="str">
            <v>LFH4972</v>
          </cell>
          <cell r="H692" t="str">
            <v>Spin-on Hydraulic Filter</v>
          </cell>
        </row>
        <row r="693">
          <cell r="G693" t="str">
            <v>LFP944F</v>
          </cell>
          <cell r="H693" t="str">
            <v>Spin-on Fuel Filter</v>
          </cell>
        </row>
        <row r="694">
          <cell r="G694" t="str">
            <v>LFP958F</v>
          </cell>
          <cell r="H694" t="str">
            <v>Spin-on Fuel Filter</v>
          </cell>
        </row>
        <row r="695">
          <cell r="G695" t="str">
            <v>LFH22003</v>
          </cell>
          <cell r="H695" t="str">
            <v>Spin-on Hydraulic Filter</v>
          </cell>
        </row>
        <row r="696">
          <cell r="G696" t="str">
            <v>LAF1819</v>
          </cell>
          <cell r="H696" t="str">
            <v>HD Metal-End Air Filter</v>
          </cell>
        </row>
        <row r="697">
          <cell r="G697" t="str">
            <v>LFF3800</v>
          </cell>
          <cell r="H697" t="str">
            <v>Spin-on Fuel Filter</v>
          </cell>
        </row>
        <row r="698">
          <cell r="G698" t="str">
            <v>L5021F</v>
          </cell>
          <cell r="H698" t="str">
            <v>Cartridge Fuel Water Separator Coalescer filter</v>
          </cell>
        </row>
        <row r="699">
          <cell r="G699" t="str">
            <v>LFF870</v>
          </cell>
          <cell r="H699" t="str">
            <v>Cartridge Fuel Filter</v>
          </cell>
        </row>
        <row r="700">
          <cell r="G700" t="str">
            <v>LAF8486</v>
          </cell>
          <cell r="H700" t="str">
            <v>Disposible Housing Air Filter</v>
          </cell>
        </row>
        <row r="701">
          <cell r="G701" t="str">
            <v>P3969</v>
          </cell>
          <cell r="H701" t="str">
            <v>Cartridge Oil Filter</v>
          </cell>
        </row>
        <row r="702">
          <cell r="G702" t="str">
            <v>LAF5023</v>
          </cell>
          <cell r="H702" t="str">
            <v>Oval Air Filter</v>
          </cell>
        </row>
        <row r="703">
          <cell r="G703" t="str">
            <v>LFP925F</v>
          </cell>
          <cell r="H703" t="str">
            <v>Spin-on Fuel Filter</v>
          </cell>
        </row>
        <row r="704">
          <cell r="G704" t="str">
            <v>LFF3518</v>
          </cell>
          <cell r="H704" t="str">
            <v>Spin-on Fuel Filter</v>
          </cell>
        </row>
        <row r="705">
          <cell r="G705" t="str">
            <v>AF1754</v>
          </cell>
          <cell r="H705" t="str">
            <v>Flexible Panel Air Filter</v>
          </cell>
        </row>
        <row r="706">
          <cell r="G706" t="str">
            <v>LAF1869</v>
          </cell>
          <cell r="H706" t="str">
            <v>Panel Air Filter Irregular Shaped</v>
          </cell>
        </row>
        <row r="707">
          <cell r="G707" t="str">
            <v>LFF5322</v>
          </cell>
          <cell r="H707" t="str">
            <v>Spin-on Fuel Filter</v>
          </cell>
        </row>
        <row r="708">
          <cell r="G708" t="str">
            <v>LFF3504</v>
          </cell>
          <cell r="H708" t="str">
            <v>Spin-on Fuel Filter</v>
          </cell>
        </row>
        <row r="709">
          <cell r="G709" t="str">
            <v>LFH8417</v>
          </cell>
          <cell r="H709" t="str">
            <v>Spin-on Hydraulic Filter</v>
          </cell>
        </row>
        <row r="710">
          <cell r="G710" t="str">
            <v>LAF1095</v>
          </cell>
          <cell r="H710" t="str">
            <v>HD Metal-End Air Filter</v>
          </cell>
        </row>
        <row r="711">
          <cell r="G711" t="str">
            <v>LP7329XL</v>
          </cell>
          <cell r="H711" t="str">
            <v>Extended Life Cartridge Oil Filter</v>
          </cell>
        </row>
        <row r="712">
          <cell r="G712" t="str">
            <v>LAF1918</v>
          </cell>
          <cell r="H712" t="str">
            <v>Round Air Filter</v>
          </cell>
        </row>
        <row r="713">
          <cell r="G713" t="str">
            <v>PH2863B</v>
          </cell>
          <cell r="H713" t="str">
            <v>Spin-on Oil Filter</v>
          </cell>
        </row>
        <row r="714">
          <cell r="G714" t="str">
            <v>FP585F</v>
          </cell>
          <cell r="H714" t="str">
            <v>Spin-on Fuel Filter</v>
          </cell>
        </row>
        <row r="715">
          <cell r="G715" t="str">
            <v>LFF5089</v>
          </cell>
          <cell r="H715" t="str">
            <v>Spin-on Fuel Water Separator Filter</v>
          </cell>
        </row>
        <row r="716">
          <cell r="G716" t="str">
            <v>LFF2040</v>
          </cell>
          <cell r="H716" t="str">
            <v>Cartridge Fuel Water Separator Filter</v>
          </cell>
        </row>
        <row r="717">
          <cell r="G717" t="str">
            <v>LFP7181</v>
          </cell>
          <cell r="H717" t="str">
            <v>Spin-on Oil Filter</v>
          </cell>
        </row>
        <row r="718">
          <cell r="G718" t="str">
            <v>CAF1767</v>
          </cell>
          <cell r="H718" t="str">
            <v>Cabin Air Filter</v>
          </cell>
        </row>
        <row r="719">
          <cell r="G719" t="str">
            <v>LAF1854</v>
          </cell>
          <cell r="H719" t="str">
            <v>HD Metal-End Inner Air Filter</v>
          </cell>
        </row>
        <row r="720">
          <cell r="G720" t="str">
            <v>LAF8145</v>
          </cell>
          <cell r="H720" t="str">
            <v>Radial Seal Outer Air Filter</v>
          </cell>
        </row>
        <row r="721">
          <cell r="G721" t="str">
            <v>LFF1131</v>
          </cell>
          <cell r="H721" t="str">
            <v>Box-type Fuel Filter</v>
          </cell>
        </row>
        <row r="722">
          <cell r="G722" t="str">
            <v>LAF6102</v>
          </cell>
          <cell r="H722" t="str">
            <v>Flexible Panel Air Filter</v>
          </cell>
        </row>
        <row r="723">
          <cell r="G723" t="str">
            <v>FP625</v>
          </cell>
          <cell r="H723" t="str">
            <v>Spin-on Fuel Filter</v>
          </cell>
        </row>
        <row r="724">
          <cell r="G724" t="str">
            <v>LAF1858</v>
          </cell>
          <cell r="H724" t="str">
            <v>Finned Vane Air Filter</v>
          </cell>
        </row>
        <row r="725">
          <cell r="G725" t="str">
            <v>AF644</v>
          </cell>
          <cell r="H725" t="str">
            <v>Round Air Filter</v>
          </cell>
        </row>
        <row r="726">
          <cell r="G726" t="str">
            <v>PH2873</v>
          </cell>
          <cell r="H726" t="str">
            <v>Spin-on OIl Filter</v>
          </cell>
        </row>
        <row r="727">
          <cell r="G727" t="str">
            <v>RG4082</v>
          </cell>
          <cell r="H727" t="str">
            <v>Air Restriction Guage</v>
          </cell>
        </row>
        <row r="728">
          <cell r="G728" t="str">
            <v>LFF5510-30</v>
          </cell>
          <cell r="H728" t="str">
            <v>Fuel Dispensing Filter</v>
          </cell>
        </row>
        <row r="729">
          <cell r="G729" t="str">
            <v>LFH4902</v>
          </cell>
          <cell r="H729" t="str">
            <v>Spin-on Hydraulic Filter</v>
          </cell>
        </row>
        <row r="730">
          <cell r="G730" t="str">
            <v>G3/8CP</v>
          </cell>
          <cell r="H730" t="str">
            <v>Clear Plastic In-Line Fuel</v>
          </cell>
        </row>
        <row r="731">
          <cell r="G731" t="str">
            <v>LFF5106</v>
          </cell>
          <cell r="H731" t="str">
            <v>Spin-on Fuel Water Separator Filter</v>
          </cell>
        </row>
        <row r="732">
          <cell r="G732" t="str">
            <v>LAF6681</v>
          </cell>
          <cell r="H732" t="str">
            <v>Radial Seal Air Filter (Primary)</v>
          </cell>
        </row>
        <row r="733">
          <cell r="G733" t="str">
            <v>LAF588</v>
          </cell>
          <cell r="H733" t="str">
            <v>Round Air Filter</v>
          </cell>
        </row>
        <row r="734">
          <cell r="G734" t="str">
            <v>LAF9096</v>
          </cell>
          <cell r="H734" t="str">
            <v>Flexible Panel Air Filter</v>
          </cell>
        </row>
        <row r="735">
          <cell r="G735" t="str">
            <v>LFP811F</v>
          </cell>
          <cell r="H735" t="str">
            <v>Spin-on Fuel Filter</v>
          </cell>
        </row>
        <row r="736">
          <cell r="G736" t="str">
            <v>LAF8427</v>
          </cell>
          <cell r="H736" t="str">
            <v>Disposible Housing Air Filter</v>
          </cell>
        </row>
        <row r="737">
          <cell r="G737" t="str">
            <v>PB50</v>
          </cell>
          <cell r="H737" t="str">
            <v>Spin-on By-Pass Oil FIlter</v>
          </cell>
        </row>
        <row r="738">
          <cell r="G738" t="str">
            <v>LFF4293</v>
          </cell>
          <cell r="H738" t="str">
            <v>Spin-on Fuel Filter</v>
          </cell>
        </row>
        <row r="739">
          <cell r="G739" t="str">
            <v>LAF1828</v>
          </cell>
          <cell r="H739" t="str">
            <v>Disposible Housing Air Filter</v>
          </cell>
        </row>
        <row r="740">
          <cell r="G740" t="str">
            <v>T194</v>
          </cell>
          <cell r="H740" t="str">
            <v>Transmission Filter Kit</v>
          </cell>
        </row>
        <row r="741">
          <cell r="G741" t="str">
            <v>LFH5809</v>
          </cell>
          <cell r="H741" t="str">
            <v>Spin-on Hydraulic Filter</v>
          </cell>
        </row>
        <row r="742">
          <cell r="G742" t="str">
            <v>LAF694</v>
          </cell>
          <cell r="H742" t="str">
            <v>Cone Shaped Conical Air Filter</v>
          </cell>
        </row>
        <row r="743">
          <cell r="G743" t="str">
            <v>LP151</v>
          </cell>
          <cell r="H743" t="str">
            <v>Cartridge Oil Filter</v>
          </cell>
        </row>
        <row r="744">
          <cell r="G744" t="str">
            <v>LP970-5</v>
          </cell>
          <cell r="H744" t="str">
            <v>Cartridge Oil Filter</v>
          </cell>
        </row>
        <row r="745">
          <cell r="G745" t="str">
            <v>LAF3948</v>
          </cell>
          <cell r="H745" t="str">
            <v>Radial Seal Inner Air Filter</v>
          </cell>
        </row>
        <row r="746">
          <cell r="G746" t="str">
            <v>L8242F</v>
          </cell>
          <cell r="H746" t="str">
            <v>Cartridge Fuel Filter</v>
          </cell>
        </row>
        <row r="747">
          <cell r="G747" t="str">
            <v>AF7856</v>
          </cell>
          <cell r="H747" t="str">
            <v>Round Air Filter</v>
          </cell>
        </row>
        <row r="748">
          <cell r="G748" t="str">
            <v>LAF5255</v>
          </cell>
          <cell r="H748" t="str">
            <v>Finned Vane Air Filter</v>
          </cell>
        </row>
        <row r="749">
          <cell r="G749" t="str">
            <v>PH2817</v>
          </cell>
          <cell r="H749" t="str">
            <v>Spin-on Oil Filter</v>
          </cell>
        </row>
        <row r="750">
          <cell r="G750" t="str">
            <v>LFF3526</v>
          </cell>
          <cell r="H750" t="str">
            <v>Spin-on Fuel Filter</v>
          </cell>
        </row>
        <row r="751">
          <cell r="G751" t="str">
            <v>LP7329</v>
          </cell>
          <cell r="H751" t="str">
            <v>Cartridge Oil Filter</v>
          </cell>
        </row>
        <row r="752">
          <cell r="G752" t="str">
            <v>LFF6925</v>
          </cell>
          <cell r="H752" t="str">
            <v>Spin-on Fuel Filter</v>
          </cell>
        </row>
        <row r="753">
          <cell r="G753" t="str">
            <v>AF5216</v>
          </cell>
          <cell r="H753" t="str">
            <v>Flexible Panel Air Filter</v>
          </cell>
        </row>
        <row r="754">
          <cell r="G754" t="str">
            <v>AF3139</v>
          </cell>
          <cell r="H754" t="str">
            <v>Flexible Panel Air Filter</v>
          </cell>
        </row>
        <row r="755">
          <cell r="G755" t="str">
            <v>LFF90013</v>
          </cell>
          <cell r="H755" t="str">
            <v>Bowl Style Fuel Water Separator Filter</v>
          </cell>
        </row>
        <row r="756">
          <cell r="G756" t="str">
            <v>LFF8061</v>
          </cell>
          <cell r="H756" t="str">
            <v>Spin-on Fuel Filter</v>
          </cell>
        </row>
        <row r="757">
          <cell r="G757" t="str">
            <v>L22023F</v>
          </cell>
          <cell r="H757" t="str">
            <v>Snap-lock Fuel/Water Separator Filter</v>
          </cell>
        </row>
        <row r="758">
          <cell r="G758" t="str">
            <v>LAF5934</v>
          </cell>
          <cell r="H758" t="str">
            <v>Corrugated Media Air Filter</v>
          </cell>
        </row>
        <row r="759">
          <cell r="G759" t="str">
            <v>T619</v>
          </cell>
          <cell r="H759" t="str">
            <v>Transmission Filter Kit</v>
          </cell>
        </row>
        <row r="760">
          <cell r="G760" t="str">
            <v>LFH22027</v>
          </cell>
          <cell r="H760" t="str">
            <v>Spin-on Hydraulic Filter</v>
          </cell>
        </row>
        <row r="761">
          <cell r="G761" t="str">
            <v>AF5210</v>
          </cell>
          <cell r="H761" t="str">
            <v>Rigid Panel Air Filter</v>
          </cell>
        </row>
        <row r="762">
          <cell r="G762" t="str">
            <v>CAF1869P</v>
          </cell>
          <cell r="H762" t="str">
            <v>Cabin Air Filter</v>
          </cell>
        </row>
        <row r="763">
          <cell r="G763" t="str">
            <v>LAF5938</v>
          </cell>
          <cell r="H763" t="str">
            <v>Corrugated Media Air Filter</v>
          </cell>
        </row>
        <row r="764">
          <cell r="G764" t="str">
            <v>750</v>
          </cell>
          <cell r="H764" t="str">
            <v>Refining Oil Filter lement with Alumina used with Luberfiner 750 Units</v>
          </cell>
        </row>
        <row r="765">
          <cell r="G765" t="str">
            <v>261F</v>
          </cell>
          <cell r="H765" t="str">
            <v>Cartridge Fuel Filter</v>
          </cell>
        </row>
        <row r="766">
          <cell r="G766" t="str">
            <v>LFH22052</v>
          </cell>
          <cell r="H766" t="str">
            <v>Spin-on Hydraulic Filter</v>
          </cell>
        </row>
        <row r="767">
          <cell r="G767" t="str">
            <v>LAF22056</v>
          </cell>
          <cell r="H767" t="str">
            <v>Radial Seal Inner Air Filter Inner</v>
          </cell>
        </row>
        <row r="768">
          <cell r="G768" t="str">
            <v>AF1300</v>
          </cell>
          <cell r="H768" t="str">
            <v>Radial Seal Air Filter</v>
          </cell>
        </row>
        <row r="769">
          <cell r="G769" t="str">
            <v>LAF9373</v>
          </cell>
          <cell r="H769" t="str">
            <v>Round Inner Air Filter</v>
          </cell>
        </row>
        <row r="770">
          <cell r="G770" t="str">
            <v>LFH8217</v>
          </cell>
          <cell r="H770" t="str">
            <v>Spin-on Hydraulic Filter</v>
          </cell>
        </row>
        <row r="771">
          <cell r="G771" t="str">
            <v>LAF1826</v>
          </cell>
          <cell r="H771" t="str">
            <v>HD Metal-End Air Filter</v>
          </cell>
        </row>
        <row r="772">
          <cell r="G772" t="str">
            <v>AF7877</v>
          </cell>
          <cell r="H772" t="str">
            <v>Flexible Panel Air Filter</v>
          </cell>
        </row>
        <row r="773">
          <cell r="G773" t="str">
            <v>LFP3712</v>
          </cell>
          <cell r="H773" t="str">
            <v>Spin-on Oil Filter</v>
          </cell>
        </row>
        <row r="774">
          <cell r="G774" t="str">
            <v>L8893F</v>
          </cell>
          <cell r="H774" t="str">
            <v>Cartridge Fuel Filter</v>
          </cell>
        </row>
        <row r="775">
          <cell r="G775" t="str">
            <v>LFP2546</v>
          </cell>
          <cell r="H775" t="str">
            <v>Spin-on Oil Filter</v>
          </cell>
        </row>
        <row r="776">
          <cell r="G776" t="str">
            <v>LAF3916</v>
          </cell>
          <cell r="H776" t="str">
            <v>HD Metal-End Air Filter</v>
          </cell>
        </row>
        <row r="777">
          <cell r="G777" t="str">
            <v>LAF1845</v>
          </cell>
          <cell r="H777" t="str">
            <v>HD Round Air Filter with Attached Boot</v>
          </cell>
        </row>
        <row r="778">
          <cell r="G778" t="str">
            <v>LAF265HD</v>
          </cell>
          <cell r="H778" t="str">
            <v>HD Metal-End Air Filter</v>
          </cell>
        </row>
        <row r="779">
          <cell r="G779" t="str">
            <v>PH6715</v>
          </cell>
          <cell r="H779" t="str">
            <v>Spin-on Oil Filter</v>
          </cell>
        </row>
        <row r="780">
          <cell r="G780" t="str">
            <v>L1645C</v>
          </cell>
          <cell r="H780" t="str">
            <v>Sock Type Oil Filter</v>
          </cell>
        </row>
        <row r="781">
          <cell r="G781" t="str">
            <v>L3541F</v>
          </cell>
          <cell r="H781" t="str">
            <v>Cartridge Fuel Filter</v>
          </cell>
        </row>
        <row r="782">
          <cell r="G782" t="str">
            <v>LH4591G</v>
          </cell>
          <cell r="H782" t="str">
            <v>Cartridge Power Steering (Hydraulic) Filter</v>
          </cell>
        </row>
        <row r="783">
          <cell r="G783" t="str">
            <v>LFF4511</v>
          </cell>
          <cell r="H783" t="str">
            <v>Fuel Dispensing Filter</v>
          </cell>
        </row>
        <row r="784">
          <cell r="G784" t="str">
            <v>PH2904</v>
          </cell>
          <cell r="H784" t="str">
            <v>Spin-on Oil Filter</v>
          </cell>
        </row>
        <row r="785">
          <cell r="G785" t="str">
            <v>LAF1784</v>
          </cell>
          <cell r="H785" t="str">
            <v>HD Metal-End Air Filter-Inner</v>
          </cell>
        </row>
        <row r="786">
          <cell r="G786" t="str">
            <v>LAF241HD</v>
          </cell>
          <cell r="H786" t="str">
            <v>Finned Vane Air Filter</v>
          </cell>
        </row>
        <row r="787">
          <cell r="G787" t="str">
            <v>LFH1702</v>
          </cell>
          <cell r="H787" t="str">
            <v>Spin-on Hydraulic Filter</v>
          </cell>
        </row>
        <row r="788">
          <cell r="G788" t="str">
            <v>LAF5868</v>
          </cell>
          <cell r="H788" t="str">
            <v>Radial Seal Inner Air Filter</v>
          </cell>
        </row>
        <row r="789">
          <cell r="G789" t="str">
            <v>LAF1747</v>
          </cell>
          <cell r="H789" t="str">
            <v>HD Metal-End Air Filter</v>
          </cell>
        </row>
        <row r="790">
          <cell r="G790" t="str">
            <v>LAF22026</v>
          </cell>
          <cell r="H790" t="str">
            <v>Disposible Housing Air Filter</v>
          </cell>
        </row>
        <row r="791">
          <cell r="G791" t="str">
            <v>LFF4102</v>
          </cell>
          <cell r="H791" t="str">
            <v>Spin-on Fuel Filter</v>
          </cell>
        </row>
        <row r="792">
          <cell r="G792" t="str">
            <v>LFH8728</v>
          </cell>
          <cell r="H792" t="str">
            <v>Spin-on Hydraulic Filter</v>
          </cell>
        </row>
        <row r="793">
          <cell r="G793" t="str">
            <v>LFH8534</v>
          </cell>
          <cell r="H793" t="str">
            <v>Spin-on Hydraulic Filter</v>
          </cell>
        </row>
        <row r="794">
          <cell r="G794" t="str">
            <v>LAF234HD</v>
          </cell>
          <cell r="H794" t="str">
            <v>Finned Vane Air Filter</v>
          </cell>
        </row>
        <row r="795">
          <cell r="G795" t="str">
            <v>LFH4268</v>
          </cell>
          <cell r="H795" t="str">
            <v>Spin-on Hydraulic Filter</v>
          </cell>
        </row>
        <row r="796">
          <cell r="G796" t="str">
            <v>L3556F</v>
          </cell>
          <cell r="H796" t="str">
            <v>Cartridge Fuel Filter</v>
          </cell>
        </row>
        <row r="797">
          <cell r="G797" t="str">
            <v>ZKIT9750</v>
          </cell>
          <cell r="H797" t="str">
            <v>Oil Filter &amp; Mtg Base Kit</v>
          </cell>
        </row>
        <row r="798">
          <cell r="G798" t="str">
            <v>LAF15</v>
          </cell>
          <cell r="H798" t="str">
            <v>Rigid Panel Air Filter</v>
          </cell>
        </row>
        <row r="799">
          <cell r="G799" t="str">
            <v>LAF1834</v>
          </cell>
          <cell r="H799" t="str">
            <v>HD Metal-End Air Filter</v>
          </cell>
        </row>
        <row r="800">
          <cell r="G800" t="str">
            <v>LFP9024</v>
          </cell>
          <cell r="H800" t="str">
            <v>Spin-on Oil Filter</v>
          </cell>
        </row>
        <row r="801">
          <cell r="G801" t="str">
            <v>LAF5314</v>
          </cell>
          <cell r="H801" t="str">
            <v>Flexible Panel Air Filter</v>
          </cell>
        </row>
        <row r="802">
          <cell r="G802" t="str">
            <v>LP566</v>
          </cell>
          <cell r="H802" t="str">
            <v>Cartridge Oil Filter</v>
          </cell>
        </row>
        <row r="803">
          <cell r="G803" t="str">
            <v>CAF24006</v>
          </cell>
          <cell r="H803" t="str">
            <v>Cabin Air Filter</v>
          </cell>
        </row>
        <row r="804">
          <cell r="G804" t="str">
            <v>750CT</v>
          </cell>
          <cell r="H804" t="str">
            <v>Diesel Unit Universal Mount Filter 750-CT</v>
          </cell>
        </row>
        <row r="805">
          <cell r="G805" t="str">
            <v>LH4589G</v>
          </cell>
          <cell r="H805" t="str">
            <v>Cartridge Power Steering (Hydraulic) Filter</v>
          </cell>
        </row>
        <row r="806">
          <cell r="G806" t="str">
            <v>LH5001</v>
          </cell>
          <cell r="H806" t="str">
            <v>Cartridge Hydraulic Filter</v>
          </cell>
        </row>
        <row r="807">
          <cell r="G807" t="str">
            <v>LP6005</v>
          </cell>
          <cell r="H807" t="str">
            <v>Spin-on Hydraulic Filter</v>
          </cell>
        </row>
        <row r="808">
          <cell r="G808" t="str">
            <v>AF1618</v>
          </cell>
          <cell r="H808" t="str">
            <v>Flexible Panel Air Filter</v>
          </cell>
        </row>
        <row r="809">
          <cell r="G809" t="str">
            <v>LFH5011W-30</v>
          </cell>
          <cell r="H809" t="str">
            <v>Spin-on Hydraulic Filter</v>
          </cell>
        </row>
        <row r="810">
          <cell r="G810" t="str">
            <v>LAF71</v>
          </cell>
          <cell r="H810" t="str">
            <v>HD Metal-End Air Filter</v>
          </cell>
        </row>
        <row r="811">
          <cell r="G811" t="str">
            <v>L8867F</v>
          </cell>
          <cell r="H811" t="str">
            <v>Snap-Lock Fuel Filter</v>
          </cell>
        </row>
        <row r="812">
          <cell r="G812" t="str">
            <v>LFP5723</v>
          </cell>
          <cell r="H812" t="str">
            <v>Spin-on Oil Filter</v>
          </cell>
        </row>
        <row r="813">
          <cell r="G813" t="str">
            <v>LAF1680</v>
          </cell>
          <cell r="H813" t="str">
            <v>Flexible Panel Air Filter</v>
          </cell>
        </row>
        <row r="814">
          <cell r="G814" t="str">
            <v>LAF6587</v>
          </cell>
          <cell r="H814" t="str">
            <v>HD Metal-End Air Filter</v>
          </cell>
        </row>
        <row r="815">
          <cell r="G815" t="str">
            <v>PH2892</v>
          </cell>
          <cell r="H815" t="str">
            <v>Spin-on Oil Filter</v>
          </cell>
        </row>
        <row r="816">
          <cell r="G816" t="str">
            <v>LFP8752</v>
          </cell>
          <cell r="H816" t="str">
            <v>Spin-on Oil Filter</v>
          </cell>
        </row>
        <row r="817">
          <cell r="G817" t="str">
            <v>LFF9897</v>
          </cell>
          <cell r="H817" t="str">
            <v>HD Fuel Spin-on Filter</v>
          </cell>
        </row>
        <row r="818">
          <cell r="G818" t="str">
            <v>LH1145</v>
          </cell>
          <cell r="H818" t="str">
            <v>Cartridge Power Steering (Hydraulic) Filter</v>
          </cell>
        </row>
        <row r="819">
          <cell r="G819" t="str">
            <v>LAF4502</v>
          </cell>
          <cell r="H819" t="str">
            <v>Radial Seal Inner Air Filter</v>
          </cell>
        </row>
        <row r="820">
          <cell r="G820" t="str">
            <v>LAF1732</v>
          </cell>
          <cell r="H820" t="str">
            <v>HD Metal-End Air Filter</v>
          </cell>
        </row>
        <row r="821">
          <cell r="G821" t="str">
            <v>L552F</v>
          </cell>
          <cell r="H821" t="str">
            <v>Cartridge Fuel Filter</v>
          </cell>
        </row>
        <row r="822">
          <cell r="G822" t="str">
            <v>LMB900</v>
          </cell>
          <cell r="H822" t="str">
            <v>Mounting Base for LFF5, LFF5D, LFF1000, LFF1001, LFF1003, LFF2749, LFF5823B, LFF8000, LFF8707, and LFP440F. 1x14 mounting threads and 7/8 x 14 inlet and outlet.</v>
          </cell>
        </row>
        <row r="823">
          <cell r="G823" t="str">
            <v>LAF9101</v>
          </cell>
          <cell r="H823" t="str">
            <v>Radial Seal Outer Air Filter</v>
          </cell>
        </row>
        <row r="824">
          <cell r="G824" t="str">
            <v>LAF4274</v>
          </cell>
          <cell r="H824" t="str">
            <v>Radial Seal Inner Air Filter</v>
          </cell>
        </row>
        <row r="825">
          <cell r="G825" t="str">
            <v>PH2855</v>
          </cell>
          <cell r="H825" t="str">
            <v>Spin-on Oil Filter</v>
          </cell>
        </row>
        <row r="826">
          <cell r="G826" t="str">
            <v>LK109M</v>
          </cell>
          <cell r="H826" t="str">
            <v>Mack Engine Maintenance Kit</v>
          </cell>
        </row>
        <row r="827">
          <cell r="G827" t="str">
            <v>LAF926</v>
          </cell>
          <cell r="H827" t="str">
            <v>HD Metal-End Air Filter</v>
          </cell>
        </row>
        <row r="828">
          <cell r="G828" t="str">
            <v>L274F</v>
          </cell>
          <cell r="H828" t="str">
            <v>Cartridge Fuel Filter</v>
          </cell>
        </row>
        <row r="829">
          <cell r="G829" t="str">
            <v>LFF3581</v>
          </cell>
          <cell r="H829" t="str">
            <v>Spin-on Fuel Water Separator Filter</v>
          </cell>
        </row>
        <row r="830">
          <cell r="G830" t="str">
            <v>L8141F</v>
          </cell>
          <cell r="H830" t="str">
            <v>Cartridge Fuel Filter</v>
          </cell>
        </row>
        <row r="831">
          <cell r="G831" t="str">
            <v>L8680F</v>
          </cell>
          <cell r="H831" t="str">
            <v>Snap-Lock Fuel Filter</v>
          </cell>
        </row>
        <row r="832">
          <cell r="G832" t="str">
            <v>LFH5074G</v>
          </cell>
          <cell r="H832" t="str">
            <v>Spin-on Hydraulic Filter</v>
          </cell>
        </row>
        <row r="833">
          <cell r="G833" t="str">
            <v>LP2854</v>
          </cell>
          <cell r="H833" t="str">
            <v>Cartridge Hydraulic Filter</v>
          </cell>
        </row>
        <row r="834">
          <cell r="G834" t="str">
            <v>CAF1910P</v>
          </cell>
          <cell r="H834" t="str">
            <v>Cabin Air Filter</v>
          </cell>
        </row>
        <row r="835">
          <cell r="G835" t="str">
            <v>CAF1816P</v>
          </cell>
          <cell r="H835" t="str">
            <v>Cabin Air Filter</v>
          </cell>
        </row>
        <row r="836">
          <cell r="G836" t="str">
            <v>P2129</v>
          </cell>
          <cell r="H836" t="str">
            <v>Cartridge Oil Filter</v>
          </cell>
        </row>
        <row r="837">
          <cell r="G837" t="str">
            <v>L6265F</v>
          </cell>
          <cell r="H837" t="str">
            <v>Snap-Lock Fuel Filter</v>
          </cell>
        </row>
        <row r="838">
          <cell r="G838" t="str">
            <v>PH2865</v>
          </cell>
          <cell r="H838" t="str">
            <v>Spin-on Oil Filter</v>
          </cell>
        </row>
        <row r="839">
          <cell r="G839" t="str">
            <v>AF213</v>
          </cell>
          <cell r="H839" t="str">
            <v>Round Air Filter</v>
          </cell>
        </row>
        <row r="840">
          <cell r="G840" t="str">
            <v>T711</v>
          </cell>
          <cell r="H840" t="str">
            <v>Transmission Filter Kit</v>
          </cell>
        </row>
        <row r="841">
          <cell r="G841" t="str">
            <v>LAF1833</v>
          </cell>
          <cell r="H841" t="str">
            <v>Disposible Housing Air Filter</v>
          </cell>
        </row>
        <row r="842">
          <cell r="G842" t="str">
            <v>LFH5011-W</v>
          </cell>
          <cell r="H842" t="str">
            <v>Dispensing Pump Fuel Filter</v>
          </cell>
        </row>
        <row r="843">
          <cell r="G843" t="str">
            <v>L4606F</v>
          </cell>
          <cell r="H843" t="str">
            <v>Fuel Filter Kit Primary/Secondary</v>
          </cell>
        </row>
        <row r="844">
          <cell r="G844" t="str">
            <v>LAF2959</v>
          </cell>
          <cell r="H844" t="str">
            <v>Corrugated Media Air Filter</v>
          </cell>
        </row>
        <row r="845">
          <cell r="G845" t="str">
            <v>LFF5127</v>
          </cell>
          <cell r="H845" t="str">
            <v>Spin-on Fuel Filter</v>
          </cell>
        </row>
        <row r="846">
          <cell r="G846" t="str">
            <v>LAF2532</v>
          </cell>
          <cell r="H846" t="str">
            <v>Disposible Housing Air Filter</v>
          </cell>
        </row>
        <row r="847">
          <cell r="G847" t="str">
            <v>LFF7689</v>
          </cell>
          <cell r="H847" t="str">
            <v>Spin-on Fuel Water Separator Filter</v>
          </cell>
        </row>
        <row r="848">
          <cell r="G848" t="str">
            <v>G124</v>
          </cell>
          <cell r="H848" t="str">
            <v>In-Line Fuel Filter</v>
          </cell>
        </row>
        <row r="849">
          <cell r="G849" t="str">
            <v>LAF9000</v>
          </cell>
          <cell r="H849" t="str">
            <v>HD Metal-End Air Filter</v>
          </cell>
        </row>
        <row r="850">
          <cell r="G850" t="str">
            <v>LFH4473</v>
          </cell>
          <cell r="H850" t="str">
            <v>Spin-on Hydraulic Filter</v>
          </cell>
        </row>
        <row r="851">
          <cell r="G851" t="str">
            <v>LFF5824B</v>
          </cell>
          <cell r="H851" t="str">
            <v>Bowl Style Fuel Water Separator Filter</v>
          </cell>
        </row>
        <row r="852">
          <cell r="G852" t="str">
            <v>LAF263HD</v>
          </cell>
          <cell r="H852" t="str">
            <v>HD Metal-End Air Filter</v>
          </cell>
        </row>
        <row r="853">
          <cell r="G853" t="str">
            <v>L4109F</v>
          </cell>
          <cell r="H853" t="str">
            <v>Snap-lock Fuel/Water Separator Filter</v>
          </cell>
        </row>
        <row r="854">
          <cell r="G854" t="str">
            <v>LFH8759G</v>
          </cell>
          <cell r="H854" t="str">
            <v>Spin-on Hydraulic Filter</v>
          </cell>
        </row>
        <row r="855">
          <cell r="G855" t="str">
            <v>AF1696</v>
          </cell>
          <cell r="H855" t="str">
            <v>Flexible Panel Air Filter</v>
          </cell>
        </row>
        <row r="856">
          <cell r="G856" t="str">
            <v>LH5461</v>
          </cell>
          <cell r="H856" t="str">
            <v>Cartridge Hydraulic Filter</v>
          </cell>
        </row>
        <row r="857">
          <cell r="G857" t="str">
            <v>P995</v>
          </cell>
          <cell r="H857" t="str">
            <v>Cartridge Oil Filter</v>
          </cell>
        </row>
        <row r="858">
          <cell r="G858" t="str">
            <v>LAF2032</v>
          </cell>
          <cell r="H858" t="str">
            <v>Radial Seal Outer Air Filter</v>
          </cell>
        </row>
        <row r="859">
          <cell r="G859" t="str">
            <v>LFF9737</v>
          </cell>
          <cell r="H859" t="str">
            <v>Bowl Style Fuel Water Separator Filter</v>
          </cell>
        </row>
        <row r="860">
          <cell r="G860" t="str">
            <v>G6</v>
          </cell>
          <cell r="H860" t="str">
            <v>Cartridge Fuel Metal Canister Filter</v>
          </cell>
        </row>
        <row r="861">
          <cell r="G861" t="str">
            <v>CAF1893P</v>
          </cell>
          <cell r="H861" t="str">
            <v>Cabin Air Filter</v>
          </cell>
        </row>
        <row r="862">
          <cell r="G862" t="str">
            <v>P960</v>
          </cell>
          <cell r="H862" t="str">
            <v>Cartridge Oil Filter</v>
          </cell>
        </row>
        <row r="863">
          <cell r="G863" t="str">
            <v>LAF5872</v>
          </cell>
          <cell r="H863" t="str">
            <v>Radial Seal Inner Air Filter</v>
          </cell>
        </row>
        <row r="864">
          <cell r="G864" t="str">
            <v>LAF8686</v>
          </cell>
          <cell r="H864" t="str">
            <v>HD Metal-End Air Filter-Inner</v>
          </cell>
        </row>
        <row r="865">
          <cell r="G865" t="str">
            <v>L8891F</v>
          </cell>
          <cell r="H865" t="str">
            <v>Snap-Lock Fuel Filter</v>
          </cell>
        </row>
        <row r="866">
          <cell r="G866" t="str">
            <v>PH2815</v>
          </cell>
          <cell r="H866" t="str">
            <v>Spin-on Oil Filter</v>
          </cell>
        </row>
        <row r="867">
          <cell r="G867" t="str">
            <v>AF3933</v>
          </cell>
          <cell r="H867" t="str">
            <v>Flexible Panel Air Filter</v>
          </cell>
        </row>
        <row r="868">
          <cell r="G868" t="str">
            <v>LAF8772</v>
          </cell>
          <cell r="H868" t="str">
            <v>HD Metal-End Air Filter</v>
          </cell>
        </row>
        <row r="869">
          <cell r="G869" t="str">
            <v>LFH4428</v>
          </cell>
          <cell r="H869" t="str">
            <v>Spin-on Hydraulic Filter</v>
          </cell>
        </row>
        <row r="870">
          <cell r="G870" t="str">
            <v>LFH8726</v>
          </cell>
          <cell r="H870" t="str">
            <v>Spin-on Hydraulic Filter</v>
          </cell>
        </row>
        <row r="871">
          <cell r="G871" t="str">
            <v>LFF3501</v>
          </cell>
          <cell r="H871" t="str">
            <v>Spin-on Fuel Filter</v>
          </cell>
        </row>
        <row r="872">
          <cell r="G872" t="str">
            <v>LP2307</v>
          </cell>
          <cell r="H872" t="str">
            <v>Cartridge Hydraulic Filter</v>
          </cell>
        </row>
        <row r="873">
          <cell r="G873" t="str">
            <v>LFH4471</v>
          </cell>
          <cell r="H873" t="str">
            <v>Spin-on Hydraulic Filter</v>
          </cell>
        </row>
        <row r="874">
          <cell r="G874" t="str">
            <v>P127</v>
          </cell>
          <cell r="H874" t="str">
            <v>Cartridge Oil Filter</v>
          </cell>
        </row>
        <row r="875">
          <cell r="G875" t="str">
            <v>LFF6963</v>
          </cell>
          <cell r="H875" t="str">
            <v>Spin-on Fuel Filter</v>
          </cell>
        </row>
        <row r="876">
          <cell r="G876" t="str">
            <v>L4103F</v>
          </cell>
          <cell r="H876" t="str">
            <v>Cartridge Fuel Filter</v>
          </cell>
        </row>
        <row r="877">
          <cell r="G877" t="str">
            <v>LAF9155</v>
          </cell>
          <cell r="H877" t="str">
            <v>HD Metal-End Air Filter</v>
          </cell>
        </row>
        <row r="878">
          <cell r="G878" t="str">
            <v>LAF8097</v>
          </cell>
          <cell r="H878" t="str">
            <v>Round Air Filter</v>
          </cell>
        </row>
        <row r="879">
          <cell r="G879" t="str">
            <v>LP50910</v>
          </cell>
          <cell r="H879" t="str">
            <v>Cartridge Hydraulic Filter</v>
          </cell>
        </row>
        <row r="880">
          <cell r="G880" t="str">
            <v>LAF8668</v>
          </cell>
          <cell r="H880" t="str">
            <v>Finned Vane Air Filter</v>
          </cell>
        </row>
        <row r="881">
          <cell r="G881" t="str">
            <v>LFF5226</v>
          </cell>
          <cell r="H881" t="str">
            <v>Cartridge Fuel Filter</v>
          </cell>
        </row>
        <row r="882">
          <cell r="G882" t="str">
            <v>LAF1458</v>
          </cell>
          <cell r="H882" t="str">
            <v>Finned Vane Air Filter</v>
          </cell>
        </row>
        <row r="883">
          <cell r="G883" t="str">
            <v>LAF1394</v>
          </cell>
          <cell r="H883" t="str">
            <v>HD Metal-End Air Filter-Inner</v>
          </cell>
        </row>
        <row r="884">
          <cell r="G884" t="str">
            <v>LFF937</v>
          </cell>
          <cell r="H884" t="str">
            <v>Spin-on Fuel Filter</v>
          </cell>
        </row>
        <row r="885">
          <cell r="G885" t="str">
            <v>LAF120A</v>
          </cell>
          <cell r="H885" t="str">
            <v>HD Metal-End Air Filter</v>
          </cell>
        </row>
        <row r="886">
          <cell r="G886" t="str">
            <v>L3103F</v>
          </cell>
          <cell r="H886" t="str">
            <v>Snap-lock Fuel/Water Separator Filter</v>
          </cell>
        </row>
        <row r="887">
          <cell r="G887" t="str">
            <v>L8968F</v>
          </cell>
          <cell r="H887" t="str">
            <v>Cartridge Fuel Filter</v>
          </cell>
        </row>
        <row r="888">
          <cell r="G888" t="str">
            <v>LAF4499</v>
          </cell>
          <cell r="H888" t="str">
            <v>Radial Seal Outer Air Filter</v>
          </cell>
        </row>
        <row r="889">
          <cell r="G889" t="str">
            <v>PH7022</v>
          </cell>
          <cell r="H889" t="str">
            <v>Spin-on Oil Filter</v>
          </cell>
        </row>
        <row r="890">
          <cell r="G890" t="str">
            <v>LAF3535A</v>
          </cell>
          <cell r="H890" t="str">
            <v>HD Metal-End Air Filter</v>
          </cell>
        </row>
        <row r="891">
          <cell r="G891" t="str">
            <v>LH5049</v>
          </cell>
          <cell r="H891" t="str">
            <v>Cartridge Hydraulic Filter</v>
          </cell>
        </row>
        <row r="892">
          <cell r="G892" t="str">
            <v>LFF8255</v>
          </cell>
          <cell r="H892" t="str">
            <v>Spin-on Fuel Water Separator Filter</v>
          </cell>
        </row>
        <row r="893">
          <cell r="G893">
            <v>2361</v>
          </cell>
          <cell r="H893" t="str">
            <v>Vent Plug Washer/272-C, 363-C, 500-C, 750-C, CT, 2C, 3C</v>
          </cell>
        </row>
        <row r="894">
          <cell r="G894" t="str">
            <v>AF146</v>
          </cell>
          <cell r="H894" t="str">
            <v>Round Air Filter</v>
          </cell>
        </row>
        <row r="895">
          <cell r="G895" t="str">
            <v>LAF2342</v>
          </cell>
          <cell r="H895" t="str">
            <v>Radial Seal Outer Air Filter</v>
          </cell>
        </row>
        <row r="896">
          <cell r="G896" t="str">
            <v>L2020FN-30</v>
          </cell>
          <cell r="H896" t="str">
            <v>Cartridge Fuel Water Separator Filter</v>
          </cell>
        </row>
        <row r="897">
          <cell r="G897" t="str">
            <v>LAF8147</v>
          </cell>
          <cell r="H897" t="str">
            <v>Radial Seal Outer Air Filter</v>
          </cell>
        </row>
        <row r="898">
          <cell r="G898" t="str">
            <v>LAF8002</v>
          </cell>
          <cell r="H898" t="str">
            <v>Disposible Housing Air Filter</v>
          </cell>
        </row>
        <row r="899">
          <cell r="G899" t="str">
            <v>LFP3411</v>
          </cell>
          <cell r="H899" t="str">
            <v>Spin-on Oil Filter</v>
          </cell>
        </row>
        <row r="900">
          <cell r="G900" t="str">
            <v>LAF5028</v>
          </cell>
          <cell r="H900" t="str">
            <v>Flexible Panel Air Filter</v>
          </cell>
        </row>
        <row r="901">
          <cell r="G901" t="str">
            <v>LFH22007</v>
          </cell>
          <cell r="H901" t="str">
            <v>Spin-on Hydraulic Filter</v>
          </cell>
        </row>
        <row r="902">
          <cell r="G902" t="str">
            <v>T153</v>
          </cell>
          <cell r="H902" t="str">
            <v>Transmission Filter Kit</v>
          </cell>
        </row>
        <row r="903">
          <cell r="G903" t="str">
            <v>P997</v>
          </cell>
          <cell r="H903" t="str">
            <v>Cartridge Oil Filter</v>
          </cell>
        </row>
        <row r="904">
          <cell r="G904" t="str">
            <v>L3524F</v>
          </cell>
          <cell r="H904" t="str">
            <v>Cartridge Fuel Filter</v>
          </cell>
        </row>
        <row r="905">
          <cell r="G905" t="str">
            <v>L2020F-30</v>
          </cell>
          <cell r="H905" t="str">
            <v>Cartridge Fuel Water Separator Filter</v>
          </cell>
        </row>
        <row r="906">
          <cell r="G906" t="str">
            <v>LFH8294</v>
          </cell>
          <cell r="H906" t="str">
            <v>Spin-on Hydraulic Filter</v>
          </cell>
        </row>
        <row r="907">
          <cell r="G907" t="str">
            <v>LFH8324</v>
          </cell>
          <cell r="H907" t="str">
            <v>Spin-on Hydraulic Filter</v>
          </cell>
        </row>
        <row r="908">
          <cell r="G908" t="str">
            <v>LAF4601</v>
          </cell>
          <cell r="H908" t="str">
            <v>Radial Seal Outer Air Filter</v>
          </cell>
        </row>
        <row r="909">
          <cell r="G909" t="str">
            <v>LFF1537</v>
          </cell>
          <cell r="H909" t="str">
            <v>Spin-on Fuel Filter</v>
          </cell>
        </row>
        <row r="910">
          <cell r="G910" t="str">
            <v>P1013</v>
          </cell>
          <cell r="H910" t="str">
            <v>Cartridge Oil Filter</v>
          </cell>
        </row>
        <row r="911">
          <cell r="G911" t="str">
            <v>LAF6125</v>
          </cell>
          <cell r="H911" t="str">
            <v>Radial Seal Inner Air Filter</v>
          </cell>
        </row>
        <row r="912">
          <cell r="G912" t="str">
            <v>AF5200</v>
          </cell>
          <cell r="H912" t="str">
            <v>Flexible Panel Air Filter</v>
          </cell>
        </row>
        <row r="913">
          <cell r="G913" t="str">
            <v>CAF1845P</v>
          </cell>
          <cell r="H913" t="str">
            <v>Cabin Air Filter</v>
          </cell>
        </row>
        <row r="914">
          <cell r="G914" t="str">
            <v>CAF1766</v>
          </cell>
          <cell r="H914" t="str">
            <v>Cabin Air Filter</v>
          </cell>
        </row>
        <row r="915">
          <cell r="G915" t="str">
            <v>LFH8876</v>
          </cell>
          <cell r="H915" t="str">
            <v>Spin-on Hydraulic Filter</v>
          </cell>
        </row>
        <row r="916">
          <cell r="G916" t="str">
            <v>PH710</v>
          </cell>
          <cell r="H916" t="str">
            <v>Spin-on Oil Filter</v>
          </cell>
        </row>
        <row r="917">
          <cell r="G917" t="str">
            <v>AF308</v>
          </cell>
          <cell r="H917" t="str">
            <v>Oval Air Filter</v>
          </cell>
        </row>
        <row r="918">
          <cell r="G918" t="str">
            <v>LP6061</v>
          </cell>
          <cell r="H918" t="str">
            <v>Cartridge Oil Filter</v>
          </cell>
        </row>
        <row r="919">
          <cell r="G919" t="str">
            <v>LFP255F</v>
          </cell>
          <cell r="H919" t="str">
            <v>Spin-on Fuel Filter</v>
          </cell>
        </row>
        <row r="920">
          <cell r="G920" t="str">
            <v>LAF5568</v>
          </cell>
          <cell r="H920" t="str">
            <v>Radial Seal Outer Air Filter</v>
          </cell>
        </row>
        <row r="921">
          <cell r="G921" t="str">
            <v>LFP2248</v>
          </cell>
          <cell r="H921" t="str">
            <v>Spin-on Oil Filter</v>
          </cell>
        </row>
        <row r="922">
          <cell r="G922" t="str">
            <v>LAF6834</v>
          </cell>
          <cell r="H922" t="str">
            <v>Round Air Filter</v>
          </cell>
        </row>
        <row r="923">
          <cell r="G923" t="str">
            <v>PH2801</v>
          </cell>
          <cell r="H923" t="str">
            <v>Spin-on Oil Filter</v>
          </cell>
        </row>
        <row r="924">
          <cell r="G924" t="str">
            <v>LAF1733</v>
          </cell>
          <cell r="H924" t="str">
            <v>HD Metal-End Air Filter</v>
          </cell>
        </row>
        <row r="925">
          <cell r="G925" t="str">
            <v>P335</v>
          </cell>
          <cell r="H925" t="str">
            <v>Cartridge Oil Filter</v>
          </cell>
        </row>
        <row r="926">
          <cell r="G926" t="str">
            <v>LFP9750</v>
          </cell>
          <cell r="H926" t="str">
            <v>Spin-on Oil Filter</v>
          </cell>
        </row>
        <row r="927">
          <cell r="G927" t="str">
            <v>PH2869</v>
          </cell>
          <cell r="H927" t="str">
            <v>Spin-on Oil Filter</v>
          </cell>
        </row>
        <row r="928">
          <cell r="G928" t="str">
            <v>LFP880</v>
          </cell>
          <cell r="H928" t="str">
            <v>Spin-on Oil Filter</v>
          </cell>
        </row>
        <row r="929">
          <cell r="G929" t="str">
            <v>P71</v>
          </cell>
          <cell r="H929" t="str">
            <v>Cartridge Oil Filter</v>
          </cell>
        </row>
        <row r="930">
          <cell r="G930" t="str">
            <v>LP509</v>
          </cell>
          <cell r="H930" t="str">
            <v>Cartridge Hydraulic Filter</v>
          </cell>
        </row>
        <row r="931">
          <cell r="G931" t="str">
            <v>LFH4636</v>
          </cell>
          <cell r="H931" t="str">
            <v>Cartridge hydraulic filter</v>
          </cell>
        </row>
        <row r="932">
          <cell r="G932" t="str">
            <v>LFP5969</v>
          </cell>
          <cell r="H932" t="str">
            <v>Spin-on Oil Filter</v>
          </cell>
        </row>
        <row r="933">
          <cell r="G933" t="str">
            <v>AF4004</v>
          </cell>
          <cell r="H933" t="str">
            <v>Rigid Panel Air Filter</v>
          </cell>
        </row>
        <row r="934">
          <cell r="G934" t="str">
            <v>LFH8705</v>
          </cell>
          <cell r="H934" t="str">
            <v>Spin-on Hydraulic Filter</v>
          </cell>
        </row>
        <row r="935">
          <cell r="G935" t="str">
            <v>L2021F-30</v>
          </cell>
          <cell r="H935" t="str">
            <v>Cartridge Fuel Filter</v>
          </cell>
        </row>
        <row r="936">
          <cell r="G936" t="str">
            <v>LAF73</v>
          </cell>
          <cell r="H936" t="str">
            <v>Round Air Filter</v>
          </cell>
        </row>
        <row r="937">
          <cell r="G937" t="str">
            <v>P986</v>
          </cell>
          <cell r="H937" t="str">
            <v>Cartridge Oil Filter</v>
          </cell>
        </row>
        <row r="938">
          <cell r="G938" t="str">
            <v>LAF8003</v>
          </cell>
          <cell r="H938" t="str">
            <v>Disposible Housing Air Filter</v>
          </cell>
        </row>
        <row r="939">
          <cell r="G939" t="str">
            <v>LFF3540</v>
          </cell>
          <cell r="H939" t="str">
            <v>Spin-on Fuel Water Separator Filter</v>
          </cell>
        </row>
        <row r="940">
          <cell r="G940" t="str">
            <v>LAF1840</v>
          </cell>
          <cell r="H940" t="str">
            <v>HD Metal-End Inner Air Filter</v>
          </cell>
        </row>
        <row r="941">
          <cell r="G941" t="str">
            <v>LH8755</v>
          </cell>
          <cell r="H941" t="str">
            <v>Spin-on Hydraulic Filter</v>
          </cell>
        </row>
        <row r="942">
          <cell r="G942" t="str">
            <v>LFF5423</v>
          </cell>
          <cell r="H942" t="str">
            <v>Spin-on Fuel Filter</v>
          </cell>
        </row>
        <row r="943">
          <cell r="G943" t="str">
            <v>LH4248</v>
          </cell>
          <cell r="H943" t="str">
            <v>Cartridge Hydraulic Filter</v>
          </cell>
        </row>
        <row r="944">
          <cell r="G944" t="str">
            <v>LAF1826F</v>
          </cell>
          <cell r="H944" t="str">
            <v>Foam Wrap Air Filter</v>
          </cell>
        </row>
        <row r="945">
          <cell r="G945" t="str">
            <v>LK254M</v>
          </cell>
          <cell r="H945" t="str">
            <v>Mack Engine Maintenance Kit</v>
          </cell>
        </row>
        <row r="946">
          <cell r="G946" t="str">
            <v>LFH9347</v>
          </cell>
          <cell r="H946" t="str">
            <v>Spin-on Hydraulic Filter</v>
          </cell>
        </row>
        <row r="947">
          <cell r="G947">
            <v>920005</v>
          </cell>
          <cell r="H947" t="str">
            <v>Lubercool II 5 Gallon Container</v>
          </cell>
        </row>
        <row r="948">
          <cell r="G948" t="str">
            <v>AF3594</v>
          </cell>
          <cell r="H948" t="str">
            <v>Rigid Panel Air Filter</v>
          </cell>
        </row>
        <row r="949">
          <cell r="G949" t="str">
            <v>LAF4602</v>
          </cell>
          <cell r="H949" t="str">
            <v>Radial Seal Inner Air Filter</v>
          </cell>
        </row>
        <row r="950">
          <cell r="G950" t="str">
            <v>T721</v>
          </cell>
          <cell r="H950" t="str">
            <v>Transmission Filter Kit</v>
          </cell>
        </row>
        <row r="951">
          <cell r="G951" t="str">
            <v>LFF6964</v>
          </cell>
          <cell r="H951" t="str">
            <v>Spin-on Fuel Filter</v>
          </cell>
        </row>
        <row r="952">
          <cell r="G952" t="str">
            <v>LFH4933</v>
          </cell>
          <cell r="H952" t="str">
            <v>Spin-on Hydraulic Filter</v>
          </cell>
        </row>
        <row r="953">
          <cell r="G953" t="str">
            <v>LFP5214</v>
          </cell>
          <cell r="H953" t="str">
            <v>Spin-on Oil Filter</v>
          </cell>
        </row>
        <row r="954">
          <cell r="G954" t="str">
            <v>LAF6128</v>
          </cell>
          <cell r="H954" t="str">
            <v>HD Round Air Filter with Attached Lid</v>
          </cell>
        </row>
        <row r="955">
          <cell r="G955" t="str">
            <v>LFP3301F</v>
          </cell>
          <cell r="H955" t="str">
            <v>Spin-on Fuel Filter</v>
          </cell>
        </row>
        <row r="956">
          <cell r="G956" t="str">
            <v>LAF5761</v>
          </cell>
          <cell r="H956" t="str">
            <v>Radial Seal Outer Air Filter</v>
          </cell>
        </row>
        <row r="957">
          <cell r="G957" t="str">
            <v>LFP2234</v>
          </cell>
          <cell r="H957" t="str">
            <v>Spin-on Oil Filter</v>
          </cell>
        </row>
        <row r="958">
          <cell r="G958" t="str">
            <v>LAF4618</v>
          </cell>
          <cell r="H958" t="str">
            <v>Radial Seal Outer Air Filter</v>
          </cell>
        </row>
        <row r="959">
          <cell r="G959" t="str">
            <v>T873</v>
          </cell>
          <cell r="H959" t="str">
            <v>Transmission Filter Kit</v>
          </cell>
        </row>
        <row r="960">
          <cell r="G960" t="str">
            <v>LAF8776</v>
          </cell>
          <cell r="H960" t="str">
            <v>HD Metal-End Air Filter with Attached Lid</v>
          </cell>
        </row>
        <row r="961">
          <cell r="G961" t="str">
            <v>FP889F</v>
          </cell>
          <cell r="H961" t="str">
            <v>Spin-on Fuel Water Separator Filter</v>
          </cell>
        </row>
        <row r="962">
          <cell r="G962" t="str">
            <v>LFH4207</v>
          </cell>
          <cell r="H962" t="str">
            <v>Spin-on Hydraulic Filter</v>
          </cell>
        </row>
        <row r="963">
          <cell r="G963" t="str">
            <v>AF3904</v>
          </cell>
          <cell r="H963" t="str">
            <v>Flexible Panel Air Filter</v>
          </cell>
        </row>
        <row r="964">
          <cell r="G964" t="str">
            <v>LAF4512</v>
          </cell>
          <cell r="H964" t="str">
            <v>Flexible Panel Air Filter</v>
          </cell>
        </row>
        <row r="965">
          <cell r="G965" t="str">
            <v>LFH22005</v>
          </cell>
          <cell r="H965" t="str">
            <v>Spin-on Hydraulic Filter</v>
          </cell>
        </row>
        <row r="966">
          <cell r="G966" t="str">
            <v>LH4741</v>
          </cell>
          <cell r="H966" t="str">
            <v>Cartridge Power Steering (Hydraulic) Filter</v>
          </cell>
        </row>
        <row r="967">
          <cell r="G967" t="str">
            <v>AF3227</v>
          </cell>
          <cell r="H967" t="str">
            <v>Air Filter</v>
          </cell>
        </row>
        <row r="968">
          <cell r="G968" t="str">
            <v>AF5261</v>
          </cell>
          <cell r="H968" t="str">
            <v>Air Filter</v>
          </cell>
        </row>
        <row r="969">
          <cell r="G969" t="str">
            <v>LFW6502</v>
          </cell>
          <cell r="H969" t="str">
            <v>Controll Release Spin-on Coolant Filter</v>
          </cell>
        </row>
        <row r="970">
          <cell r="G970" t="str">
            <v>AF5211</v>
          </cell>
          <cell r="H970" t="str">
            <v>Panel Air Filter</v>
          </cell>
        </row>
        <row r="971">
          <cell r="G971" t="str">
            <v>LAF6998</v>
          </cell>
          <cell r="H971" t="str">
            <v>Radial Seal Air Filter (Primary)</v>
          </cell>
        </row>
        <row r="972">
          <cell r="G972" t="str">
            <v>LAF3884</v>
          </cell>
          <cell r="H972" t="str">
            <v>Radial Seal Inner Air Filter</v>
          </cell>
        </row>
        <row r="973">
          <cell r="G973" t="str">
            <v>LWHB4861</v>
          </cell>
          <cell r="H973" t="str">
            <v>Coolant Filter Mounting Base with bracket for coolant filters with 11/16" threads.</v>
          </cell>
        </row>
        <row r="974">
          <cell r="G974" t="str">
            <v>LFF3550</v>
          </cell>
          <cell r="H974" t="str">
            <v>Spin-on Fuel Filter</v>
          </cell>
        </row>
        <row r="975">
          <cell r="G975" t="str">
            <v>CAF1873P</v>
          </cell>
          <cell r="H975" t="str">
            <v>Cabin Air Filter</v>
          </cell>
        </row>
        <row r="976">
          <cell r="G976" t="str">
            <v>LFP3050</v>
          </cell>
          <cell r="H976" t="str">
            <v>Spin-on Oil Filter</v>
          </cell>
        </row>
        <row r="977">
          <cell r="G977" t="str">
            <v>LAF414</v>
          </cell>
          <cell r="H977" t="str">
            <v>HD Metal-End Air Filter-Inner</v>
          </cell>
        </row>
        <row r="978">
          <cell r="G978" t="str">
            <v>LAF8780</v>
          </cell>
          <cell r="H978" t="str">
            <v>Disposible Housing Air Filter</v>
          </cell>
        </row>
        <row r="979">
          <cell r="G979" t="str">
            <v>LAF689</v>
          </cell>
          <cell r="H979" t="str">
            <v>HD Metal-End Air Filter</v>
          </cell>
        </row>
        <row r="980">
          <cell r="G980" t="str">
            <v>LAF388</v>
          </cell>
          <cell r="H980" t="str">
            <v>Round Air Filter</v>
          </cell>
        </row>
        <row r="981">
          <cell r="G981" t="str">
            <v>LAF1038</v>
          </cell>
          <cell r="H981" t="str">
            <v>Finned Vane Air Filter</v>
          </cell>
        </row>
        <row r="982">
          <cell r="G982" t="str">
            <v>LFF6753</v>
          </cell>
          <cell r="H982" t="str">
            <v>Spin-on Fuel Water Separator Filter</v>
          </cell>
        </row>
        <row r="983">
          <cell r="G983" t="str">
            <v>LK329M</v>
          </cell>
          <cell r="H983" t="str">
            <v>Mack Engine Maintenance Kit</v>
          </cell>
        </row>
        <row r="984">
          <cell r="G984" t="str">
            <v>AF3138</v>
          </cell>
          <cell r="H984" t="str">
            <v>Panel Air Irregular Shaped Filter</v>
          </cell>
        </row>
        <row r="985">
          <cell r="G985" t="str">
            <v>LAF4620</v>
          </cell>
          <cell r="H985" t="str">
            <v>Radial Seal Outer Air Filter</v>
          </cell>
        </row>
        <row r="986">
          <cell r="G986" t="str">
            <v>LAF9159</v>
          </cell>
          <cell r="H986" t="str">
            <v>HD Metal-End Inner Air Filter</v>
          </cell>
        </row>
        <row r="987">
          <cell r="G987" t="str">
            <v>LAF3699</v>
          </cell>
          <cell r="H987" t="str">
            <v>Cabin Air Filter</v>
          </cell>
        </row>
        <row r="988">
          <cell r="G988" t="str">
            <v>LFH8595</v>
          </cell>
          <cell r="H988" t="str">
            <v>Spin-on Hydraulic Filter</v>
          </cell>
        </row>
        <row r="989">
          <cell r="G989" t="str">
            <v>AF5244</v>
          </cell>
          <cell r="H989" t="str">
            <v>Panel Air Filter</v>
          </cell>
        </row>
        <row r="990">
          <cell r="G990" t="str">
            <v>LAF8766</v>
          </cell>
          <cell r="H990" t="str">
            <v>Radial Seal Inner Air Filter</v>
          </cell>
        </row>
        <row r="991">
          <cell r="G991" t="str">
            <v>LAF1725</v>
          </cell>
          <cell r="H991" t="str">
            <v>Round Inner Air Filter</v>
          </cell>
        </row>
        <row r="992">
          <cell r="G992" t="str">
            <v>G22</v>
          </cell>
          <cell r="H992" t="str">
            <v>In-Line Fuel Filter</v>
          </cell>
        </row>
        <row r="993">
          <cell r="G993" t="str">
            <v>T865</v>
          </cell>
          <cell r="H993" t="str">
            <v>Transmission Filter</v>
          </cell>
        </row>
        <row r="994">
          <cell r="G994" t="str">
            <v>LAF66</v>
          </cell>
          <cell r="H994" t="str">
            <v>HD Metal-End Air Filter</v>
          </cell>
        </row>
        <row r="995">
          <cell r="G995" t="str">
            <v>LAF5802</v>
          </cell>
          <cell r="H995" t="str">
            <v>Round Air Filter</v>
          </cell>
        </row>
        <row r="996">
          <cell r="G996" t="str">
            <v>LAF1948</v>
          </cell>
          <cell r="H996" t="str">
            <v>HD Metal-End Air Filter-Inner</v>
          </cell>
        </row>
        <row r="997">
          <cell r="G997" t="str">
            <v>LFP8703</v>
          </cell>
          <cell r="H997" t="str">
            <v>Spin-on Oil Filter</v>
          </cell>
        </row>
        <row r="998">
          <cell r="G998" t="str">
            <v>PH52</v>
          </cell>
          <cell r="H998" t="str">
            <v>Spin-on Oil Filter</v>
          </cell>
        </row>
        <row r="999">
          <cell r="G999" t="str">
            <v>LAF6098</v>
          </cell>
          <cell r="H999" t="str">
            <v>Radial Seal Outer Air Filter</v>
          </cell>
        </row>
        <row r="1000">
          <cell r="G1000" t="str">
            <v>LP8995</v>
          </cell>
          <cell r="H1000" t="str">
            <v>Cartridge Oil Filter</v>
          </cell>
        </row>
        <row r="1001">
          <cell r="G1001" t="str">
            <v>T638</v>
          </cell>
          <cell r="H1001" t="str">
            <v>Transmission Filter Kit</v>
          </cell>
        </row>
        <row r="1002">
          <cell r="G1002" t="str">
            <v>LAF3814</v>
          </cell>
          <cell r="H1002" t="str">
            <v>Radial Seal Outer Air Filter</v>
          </cell>
        </row>
        <row r="1003">
          <cell r="G1003" t="str">
            <v>LAF8823</v>
          </cell>
          <cell r="H1003" t="str">
            <v>HD Metal-End Air Filter with Attached Lid</v>
          </cell>
        </row>
        <row r="1004">
          <cell r="G1004" t="str">
            <v>LAF2343</v>
          </cell>
          <cell r="H1004" t="str">
            <v>Radial Seal Inner Air Filter</v>
          </cell>
        </row>
        <row r="1005">
          <cell r="G1005" t="str">
            <v>LAF3700</v>
          </cell>
          <cell r="H1005" t="str">
            <v>Cabin Air Filter</v>
          </cell>
        </row>
        <row r="1006">
          <cell r="G1006" t="str">
            <v>LAF4505MXM</v>
          </cell>
          <cell r="H1006" t="str">
            <v>Nano Tech Radial Seal Air Filter</v>
          </cell>
        </row>
        <row r="1007">
          <cell r="G1007" t="str">
            <v>P981</v>
          </cell>
          <cell r="H1007" t="str">
            <v>Cartridge Oil Filter</v>
          </cell>
        </row>
        <row r="1008">
          <cell r="G1008" t="str">
            <v>AF3938</v>
          </cell>
          <cell r="H1008" t="str">
            <v>Flexible Panel Air Filter</v>
          </cell>
        </row>
        <row r="1009">
          <cell r="G1009" t="str">
            <v>P992</v>
          </cell>
          <cell r="H1009" t="str">
            <v>Cartridge Oil Filter</v>
          </cell>
        </row>
        <row r="1010">
          <cell r="G1010" t="str">
            <v>L8706F</v>
          </cell>
          <cell r="H1010" t="str">
            <v>Snap-Lock Fuel Filter</v>
          </cell>
        </row>
        <row r="1011">
          <cell r="G1011" t="str">
            <v>LAF1835</v>
          </cell>
          <cell r="H1011" t="str">
            <v>HD Metal-End Inner Air Filter</v>
          </cell>
        </row>
        <row r="1012">
          <cell r="G1012" t="str">
            <v>262F</v>
          </cell>
          <cell r="H1012" t="str">
            <v>Cartridge Fuel Filter</v>
          </cell>
        </row>
        <row r="1013">
          <cell r="G1013" t="str">
            <v>LAF8749</v>
          </cell>
          <cell r="H1013" t="str">
            <v>Radial Seal Outer Air Filter</v>
          </cell>
        </row>
        <row r="1014">
          <cell r="G1014" t="str">
            <v>LFH8329</v>
          </cell>
          <cell r="H1014" t="str">
            <v>Spin-on Hydraulic Filter</v>
          </cell>
        </row>
        <row r="1015">
          <cell r="G1015" t="str">
            <v>LAF5842</v>
          </cell>
          <cell r="H1015" t="str">
            <v>HD Round Air Filter with Attached Lid</v>
          </cell>
        </row>
        <row r="1016">
          <cell r="G1016" t="str">
            <v>LK236M</v>
          </cell>
          <cell r="H1016" t="str">
            <v>Mack Engine Maintenance Kit</v>
          </cell>
        </row>
        <row r="1017">
          <cell r="G1017" t="str">
            <v>AF5271</v>
          </cell>
          <cell r="H1017" t="str">
            <v>Air Filter</v>
          </cell>
        </row>
        <row r="1018">
          <cell r="G1018" t="str">
            <v>LAF8124</v>
          </cell>
          <cell r="H1018" t="str">
            <v>Radial Seal Outer Air Filter</v>
          </cell>
        </row>
        <row r="1019">
          <cell r="G1019" t="str">
            <v>LAF8634</v>
          </cell>
          <cell r="H1019" t="str">
            <v>HD Metal-End Air Filter</v>
          </cell>
        </row>
        <row r="1020">
          <cell r="G1020" t="str">
            <v>LAF8792</v>
          </cell>
          <cell r="H1020" t="str">
            <v>Flexible Panel Air Filter</v>
          </cell>
        </row>
        <row r="1021">
          <cell r="G1021" t="str">
            <v>T615</v>
          </cell>
          <cell r="H1021" t="str">
            <v>Spin-on Transmission Filter</v>
          </cell>
        </row>
        <row r="1022">
          <cell r="G1022" t="str">
            <v>AF1096</v>
          </cell>
          <cell r="H1022" t="str">
            <v>Flexible Panel Air Filter</v>
          </cell>
        </row>
        <row r="1023">
          <cell r="G1023" t="str">
            <v>AF109</v>
          </cell>
          <cell r="H1023" t="str">
            <v>Round Air Filter</v>
          </cell>
        </row>
        <row r="1024">
          <cell r="G1024" t="str">
            <v>CAF7781</v>
          </cell>
          <cell r="H1024" t="str">
            <v>Cabin Air Filter (Carbon)</v>
          </cell>
        </row>
        <row r="1025">
          <cell r="G1025" t="str">
            <v>AF5190</v>
          </cell>
          <cell r="H1025" t="str">
            <v>Flexible Panel Air Filter</v>
          </cell>
        </row>
        <row r="1026">
          <cell r="G1026" t="str">
            <v>CAF1887P</v>
          </cell>
          <cell r="H1026" t="str">
            <v>Cabin Air Filter</v>
          </cell>
        </row>
        <row r="1027">
          <cell r="G1027" t="str">
            <v>P987</v>
          </cell>
          <cell r="H1027" t="str">
            <v>Cartridge Oil Filter</v>
          </cell>
        </row>
        <row r="1028">
          <cell r="G1028" t="str">
            <v>LAF1718</v>
          </cell>
          <cell r="H1028" t="str">
            <v>HD Metal-End Air Filter</v>
          </cell>
        </row>
        <row r="1029">
          <cell r="G1029" t="str">
            <v>LH4932</v>
          </cell>
          <cell r="H1029" t="str">
            <v>Cartridge Hydraulic Filter</v>
          </cell>
        </row>
        <row r="1030">
          <cell r="G1030" t="str">
            <v>LFH5015</v>
          </cell>
          <cell r="H1030" t="str">
            <v>Spin-on Hydraulic Filter</v>
          </cell>
        </row>
        <row r="1031">
          <cell r="G1031" t="str">
            <v>T614</v>
          </cell>
          <cell r="H1031" t="str">
            <v>Transmission Filter Kit</v>
          </cell>
        </row>
        <row r="1032">
          <cell r="G1032" t="str">
            <v>LAF1844</v>
          </cell>
          <cell r="H1032" t="str">
            <v>Disposible Housing Air Filter</v>
          </cell>
        </row>
        <row r="1033">
          <cell r="G1033" t="str">
            <v>CAF1875P</v>
          </cell>
          <cell r="H1033" t="str">
            <v>Cabin Air Filter</v>
          </cell>
        </row>
        <row r="1034">
          <cell r="G1034" t="str">
            <v>P189</v>
          </cell>
          <cell r="H1034" t="str">
            <v>Cartridge Oil Filter</v>
          </cell>
        </row>
        <row r="1035">
          <cell r="G1035" t="str">
            <v>LFF4812D</v>
          </cell>
          <cell r="H1035" t="str">
            <v>Spin-on Fuel Filter</v>
          </cell>
        </row>
        <row r="1036">
          <cell r="G1036" t="str">
            <v>LK300V</v>
          </cell>
          <cell r="H1036" t="str">
            <v>Volvo Engine Maintenance Kit</v>
          </cell>
        </row>
        <row r="1037">
          <cell r="G1037" t="str">
            <v>LFF3257</v>
          </cell>
          <cell r="H1037" t="str">
            <v>Spin-on Fuel Filter</v>
          </cell>
        </row>
        <row r="1038">
          <cell r="G1038" t="str">
            <v>LAF5069</v>
          </cell>
          <cell r="H1038" t="str">
            <v>HD Round Air Filter with Attached Boot</v>
          </cell>
        </row>
        <row r="1039">
          <cell r="G1039" t="str">
            <v>AF3609</v>
          </cell>
          <cell r="H1039" t="str">
            <v>Flexible Panel Air Filter</v>
          </cell>
        </row>
        <row r="1040">
          <cell r="G1040" t="str">
            <v>LAF8734</v>
          </cell>
          <cell r="H1040" t="str">
            <v>HD Metal-End Inner Air Filter</v>
          </cell>
        </row>
        <row r="1041">
          <cell r="G1041" t="str">
            <v>LAF1483</v>
          </cell>
          <cell r="H1041" t="str">
            <v>Panel Air Filter Irregular Shaped</v>
          </cell>
        </row>
        <row r="1042">
          <cell r="G1042" t="str">
            <v>G796</v>
          </cell>
          <cell r="H1042" t="str">
            <v>In-Line Fuel Filter</v>
          </cell>
        </row>
        <row r="1043">
          <cell r="G1043" t="str">
            <v>CAF24016XL</v>
          </cell>
          <cell r="H1043" t="str">
            <v>Cabin Air Filter (Carbon) Extreme Clean</v>
          </cell>
        </row>
        <row r="1044">
          <cell r="G1044" t="str">
            <v>LAF8733</v>
          </cell>
          <cell r="H1044" t="str">
            <v>HD Round Air Filter with Attached Boot</v>
          </cell>
        </row>
        <row r="1045">
          <cell r="G1045" t="str">
            <v>CAF7706</v>
          </cell>
          <cell r="H1045" t="str">
            <v>Cabin Air Filter (Carbon)</v>
          </cell>
        </row>
        <row r="1046">
          <cell r="G1046" t="str">
            <v>P141</v>
          </cell>
          <cell r="H1046" t="str">
            <v>Cartridge Oil Filter</v>
          </cell>
        </row>
        <row r="1047">
          <cell r="G1047" t="str">
            <v>G1/4P</v>
          </cell>
          <cell r="H1047" t="str">
            <v>In-Line Fuel Filter</v>
          </cell>
        </row>
        <row r="1048">
          <cell r="G1048" t="str">
            <v>T651</v>
          </cell>
          <cell r="H1048" t="str">
            <v>Transmission Filter Kit</v>
          </cell>
        </row>
        <row r="1049">
          <cell r="G1049" t="str">
            <v>AF1135</v>
          </cell>
          <cell r="H1049" t="str">
            <v>Flexible Panel Air Filter</v>
          </cell>
        </row>
        <row r="1050">
          <cell r="G1050" t="str">
            <v>LFF6771SC</v>
          </cell>
          <cell r="H1050" t="str">
            <v>Spin-on Fuel Filter</v>
          </cell>
        </row>
        <row r="1051">
          <cell r="G1051" t="str">
            <v>LFH22009</v>
          </cell>
          <cell r="H1051" t="str">
            <v>Spin-on Hydraulic Filter</v>
          </cell>
        </row>
        <row r="1052">
          <cell r="G1052" t="str">
            <v>AF360</v>
          </cell>
          <cell r="H1052" t="str">
            <v>Panel Air Filter</v>
          </cell>
        </row>
        <row r="1053">
          <cell r="G1053" t="str">
            <v>P1037</v>
          </cell>
          <cell r="H1053" t="str">
            <v>Cartridge Oil Filter</v>
          </cell>
        </row>
        <row r="1054">
          <cell r="G1054" t="str">
            <v>T951</v>
          </cell>
          <cell r="H1054" t="str">
            <v>Transmission Filter Kit</v>
          </cell>
        </row>
        <row r="1055">
          <cell r="G1055" t="str">
            <v>AF5224</v>
          </cell>
          <cell r="H1055" t="str">
            <v>Rigid Panel Air Filter</v>
          </cell>
        </row>
        <row r="1056">
          <cell r="G1056" t="str">
            <v>PH444</v>
          </cell>
          <cell r="H1056" t="str">
            <v>Spin-on Oil Filter</v>
          </cell>
        </row>
        <row r="1057">
          <cell r="G1057" t="str">
            <v>LFH8197</v>
          </cell>
          <cell r="H1057" t="str">
            <v>Spin-on Hydraulic Filter</v>
          </cell>
        </row>
        <row r="1058">
          <cell r="G1058" t="str">
            <v>LH95277V</v>
          </cell>
          <cell r="H1058" t="str">
            <v>Cartridge Hydraulic Filter</v>
          </cell>
        </row>
        <row r="1059">
          <cell r="G1059" t="str">
            <v>LK90CA</v>
          </cell>
          <cell r="H1059" t="str">
            <v>Caterpillar Engine Maintenance Kit</v>
          </cell>
        </row>
        <row r="1060">
          <cell r="G1060" t="str">
            <v>FP1127F</v>
          </cell>
          <cell r="H1060" t="str">
            <v>Spin-on Fuel Filter</v>
          </cell>
        </row>
        <row r="1061">
          <cell r="G1061" t="str">
            <v>LAF6099</v>
          </cell>
          <cell r="H1061" t="str">
            <v>Radial Seal Inner Air Filter</v>
          </cell>
        </row>
        <row r="1062">
          <cell r="G1062" t="str">
            <v>L8138F</v>
          </cell>
          <cell r="H1062" t="str">
            <v>Cartridge Fuel Filter</v>
          </cell>
        </row>
        <row r="1063">
          <cell r="G1063" t="str">
            <v>LFF4136</v>
          </cell>
          <cell r="H1063" t="str">
            <v>Spin-on Fuel Filter</v>
          </cell>
        </row>
        <row r="1064">
          <cell r="G1064" t="str">
            <v>LFP2271</v>
          </cell>
          <cell r="H1064" t="str">
            <v>Spin-on Oil Filter</v>
          </cell>
        </row>
        <row r="1065">
          <cell r="G1065" t="str">
            <v>LAF8405</v>
          </cell>
          <cell r="H1065" t="str">
            <v>Radial Seal Inner Air Filter</v>
          </cell>
        </row>
        <row r="1066">
          <cell r="G1066" t="str">
            <v>LAF1856</v>
          </cell>
          <cell r="H1066" t="str">
            <v>Foam Wrap Air Filter</v>
          </cell>
        </row>
        <row r="1067">
          <cell r="G1067" t="str">
            <v>LAF928</v>
          </cell>
          <cell r="H1067" t="str">
            <v>HD Metal-End Air Filter</v>
          </cell>
        </row>
        <row r="1068">
          <cell r="G1068" t="str">
            <v>AF5223</v>
          </cell>
          <cell r="H1068" t="str">
            <v>Rigid Panel Air Filter</v>
          </cell>
        </row>
        <row r="1069">
          <cell r="G1069" t="str">
            <v>LAF2831</v>
          </cell>
          <cell r="H1069" t="str">
            <v>Cone Shaped Conical Air Filter</v>
          </cell>
        </row>
        <row r="1070">
          <cell r="G1070" t="str">
            <v>LH4166</v>
          </cell>
          <cell r="H1070" t="str">
            <v>Cartridge Hydraulic Filter</v>
          </cell>
        </row>
        <row r="1071">
          <cell r="G1071" t="str">
            <v>LH22044</v>
          </cell>
          <cell r="H1071" t="str">
            <v>Cartridge Hydraulic Filter</v>
          </cell>
        </row>
        <row r="1072">
          <cell r="G1072" t="str">
            <v>AF5235</v>
          </cell>
          <cell r="H1072" t="str">
            <v>Rigid Panel Air Filter</v>
          </cell>
        </row>
        <row r="1073">
          <cell r="G1073" t="str">
            <v>AF4063</v>
          </cell>
          <cell r="H1073" t="str">
            <v>Rigid Panel Air Filter</v>
          </cell>
        </row>
        <row r="1074">
          <cell r="G1074" t="str">
            <v>LFF5644</v>
          </cell>
          <cell r="H1074" t="str">
            <v>Spin-on Fuel Filter</v>
          </cell>
        </row>
        <row r="1075">
          <cell r="G1075" t="str">
            <v>LFH22028</v>
          </cell>
          <cell r="H1075" t="str">
            <v>Spin-on Hydraulic Filter</v>
          </cell>
        </row>
        <row r="1076">
          <cell r="G1076" t="str">
            <v>L8269F</v>
          </cell>
          <cell r="H1076" t="str">
            <v>Cartridge Fuel Filter</v>
          </cell>
        </row>
        <row r="1077">
          <cell r="G1077" t="str">
            <v>CAF24004XL</v>
          </cell>
          <cell r="H1077" t="str">
            <v>Cabin Air Filter (Carbon) Extreme Clean</v>
          </cell>
        </row>
        <row r="1078">
          <cell r="G1078" t="str">
            <v>LAF5022</v>
          </cell>
          <cell r="H1078" t="str">
            <v>Radial Seal Air Filter (Primary)</v>
          </cell>
        </row>
        <row r="1079">
          <cell r="G1079" t="str">
            <v>LFF8063U</v>
          </cell>
          <cell r="H1079" t="str">
            <v>Bowless Fuel Water Separator Filter</v>
          </cell>
        </row>
        <row r="1080">
          <cell r="G1080" t="str">
            <v>LAF9202</v>
          </cell>
          <cell r="H1080" t="str">
            <v>Radial Seal Inner Air Filter Inner</v>
          </cell>
        </row>
        <row r="1081">
          <cell r="G1081" t="str">
            <v>CAF1848C</v>
          </cell>
          <cell r="H1081" t="str">
            <v>Cabin Air Filter (Carbon)</v>
          </cell>
        </row>
        <row r="1082">
          <cell r="G1082" t="str">
            <v>LAF8089</v>
          </cell>
          <cell r="H1082" t="str">
            <v>Oval Air Filter</v>
          </cell>
        </row>
        <row r="1083">
          <cell r="G1083" t="str">
            <v>L8684F</v>
          </cell>
          <cell r="H1083" t="str">
            <v>Snap-Lock Fuel Filter</v>
          </cell>
        </row>
        <row r="1084">
          <cell r="G1084" t="str">
            <v>P989</v>
          </cell>
          <cell r="H1084" t="str">
            <v>Cartridge Oil Filter</v>
          </cell>
        </row>
        <row r="1085">
          <cell r="G1085" t="str">
            <v>PH2005</v>
          </cell>
          <cell r="H1085" t="str">
            <v>Spin-on Oil Filter</v>
          </cell>
        </row>
        <row r="1086">
          <cell r="G1086" t="str">
            <v>LAF4500</v>
          </cell>
          <cell r="H1086" t="str">
            <v>Radial Seal Inner Air Filter</v>
          </cell>
        </row>
        <row r="1087">
          <cell r="G1087" t="str">
            <v>LAF6999</v>
          </cell>
          <cell r="H1087" t="str">
            <v>Radial Seal Inner Air Filter</v>
          </cell>
        </row>
        <row r="1088">
          <cell r="G1088" t="str">
            <v>AF7862</v>
          </cell>
          <cell r="H1088" t="str">
            <v>Flexible Panel Air Filter</v>
          </cell>
        </row>
        <row r="1089">
          <cell r="G1089" t="str">
            <v>LFH6135</v>
          </cell>
          <cell r="H1089" t="str">
            <v>Spin-on Hydraulic Filter</v>
          </cell>
        </row>
        <row r="1090">
          <cell r="G1090" t="str">
            <v>LAF9657</v>
          </cell>
          <cell r="H1090" t="str">
            <v>Panel Air Filter Metal Framed</v>
          </cell>
        </row>
        <row r="1091">
          <cell r="G1091" t="str">
            <v>AF7863</v>
          </cell>
          <cell r="H1091" t="str">
            <v>Flexible Panel Air Filter</v>
          </cell>
        </row>
        <row r="1092">
          <cell r="G1092" t="str">
            <v>LAF1813</v>
          </cell>
          <cell r="H1092" t="str">
            <v>HD Metal-End Air Filter</v>
          </cell>
        </row>
        <row r="1093">
          <cell r="G1093" t="str">
            <v>AF5225</v>
          </cell>
          <cell r="H1093" t="str">
            <v>Flexible Panel Air Filter</v>
          </cell>
        </row>
        <row r="1094">
          <cell r="G1094" t="str">
            <v>AF348</v>
          </cell>
          <cell r="H1094" t="str">
            <v>Round Air Filter</v>
          </cell>
        </row>
        <row r="1095">
          <cell r="G1095" t="str">
            <v>LAF4629</v>
          </cell>
          <cell r="H1095" t="str">
            <v>Radial Seal Outer Air Filter</v>
          </cell>
        </row>
        <row r="1096">
          <cell r="G1096" t="str">
            <v>L3880F</v>
          </cell>
          <cell r="H1096" t="str">
            <v>Snap-Lock Fuel Filter</v>
          </cell>
        </row>
        <row r="1097">
          <cell r="G1097" t="str">
            <v>LAF2526</v>
          </cell>
          <cell r="H1097" t="str">
            <v>HD Metal-End Inner Air Filter</v>
          </cell>
        </row>
        <row r="1098">
          <cell r="G1098" t="str">
            <v>LFH22041</v>
          </cell>
          <cell r="H1098" t="str">
            <v>Spin-on Hydraulic Filter</v>
          </cell>
        </row>
        <row r="1099">
          <cell r="G1099" t="str">
            <v>LFH4213</v>
          </cell>
          <cell r="H1099" t="str">
            <v>Cartridge Hydraulic Filter</v>
          </cell>
        </row>
        <row r="1100">
          <cell r="G1100" t="str">
            <v>LAF8824</v>
          </cell>
          <cell r="H1100" t="str">
            <v>HD Metal-End Air Filter</v>
          </cell>
        </row>
        <row r="1101">
          <cell r="G1101" t="str">
            <v>AF7845</v>
          </cell>
          <cell r="H1101" t="str">
            <v>Flexible Panel Air Filter</v>
          </cell>
        </row>
        <row r="1102">
          <cell r="G1102" t="str">
            <v>LFP2229</v>
          </cell>
          <cell r="H1102" t="str">
            <v>Spin-on Oil Filter</v>
          </cell>
        </row>
        <row r="1103">
          <cell r="G1103" t="str">
            <v>LAF9086</v>
          </cell>
          <cell r="H1103" t="str">
            <v>HD Metal-End Air Filter</v>
          </cell>
        </row>
        <row r="1104">
          <cell r="G1104" t="str">
            <v>AF9911</v>
          </cell>
          <cell r="H1104" t="str">
            <v>Air Filter</v>
          </cell>
        </row>
        <row r="1105">
          <cell r="G1105" t="str">
            <v>AF5264</v>
          </cell>
          <cell r="H1105" t="str">
            <v>Air Filter</v>
          </cell>
        </row>
        <row r="1106">
          <cell r="G1106" t="str">
            <v>LP1653</v>
          </cell>
          <cell r="H1106" t="str">
            <v>Cartridge Oil Filter</v>
          </cell>
        </row>
        <row r="1107">
          <cell r="G1107" t="str">
            <v>LH6418</v>
          </cell>
          <cell r="H1107" t="str">
            <v>Cartridge Hydraulic Filter</v>
          </cell>
        </row>
        <row r="1108">
          <cell r="G1108" t="str">
            <v>LK370C</v>
          </cell>
          <cell r="H1108" t="str">
            <v>Cummins Diesel Maintenance Kit</v>
          </cell>
        </row>
        <row r="1109">
          <cell r="G1109" t="str">
            <v>LAF1617</v>
          </cell>
          <cell r="H1109" t="str">
            <v>Oval Air Filter</v>
          </cell>
        </row>
        <row r="1110">
          <cell r="G1110" t="str">
            <v>LH4260</v>
          </cell>
          <cell r="H1110" t="str">
            <v>Cartridge Power Steering (Hydraulic) Filter</v>
          </cell>
        </row>
        <row r="1111">
          <cell r="G1111" t="str">
            <v>LAF5762</v>
          </cell>
          <cell r="H1111" t="str">
            <v>Radial Seal Inner Air Filter</v>
          </cell>
        </row>
        <row r="1112">
          <cell r="G1112" t="str">
            <v>LFH7355</v>
          </cell>
          <cell r="H1112" t="str">
            <v>Spin-on Hydraulic Filter</v>
          </cell>
        </row>
        <row r="1113">
          <cell r="G1113" t="str">
            <v>FP230F</v>
          </cell>
          <cell r="H1113" t="str">
            <v>Spin-on Fuel Filter</v>
          </cell>
        </row>
        <row r="1114">
          <cell r="G1114" t="str">
            <v>AF5197</v>
          </cell>
          <cell r="H1114" t="str">
            <v>Panel Air Irregular Shaped Filter</v>
          </cell>
        </row>
        <row r="1115">
          <cell r="G1115" t="str">
            <v>G1063</v>
          </cell>
          <cell r="H1115" t="str">
            <v>In-Line Fuel Filter</v>
          </cell>
        </row>
        <row r="1116">
          <cell r="G1116" t="str">
            <v>LFW4860XL</v>
          </cell>
          <cell r="H1116" t="str">
            <v>Extended Life Spin-on Coolant Filter</v>
          </cell>
        </row>
        <row r="1117">
          <cell r="G1117" t="str">
            <v>LFP3692F</v>
          </cell>
          <cell r="H1117" t="str">
            <v>Spin-on Fuel Filter</v>
          </cell>
        </row>
        <row r="1118">
          <cell r="G1118" t="str">
            <v>LAF8110</v>
          </cell>
          <cell r="H1118" t="str">
            <v>Radial Seal Outer Air Filter</v>
          </cell>
        </row>
        <row r="1119">
          <cell r="G1119" t="str">
            <v>G580</v>
          </cell>
          <cell r="H1119" t="str">
            <v>In-Line Fuel Filter</v>
          </cell>
        </row>
        <row r="1120">
          <cell r="G1120" t="str">
            <v>CAF1921P</v>
          </cell>
          <cell r="H1120" t="str">
            <v>Cabin Air Filter</v>
          </cell>
        </row>
        <row r="1121">
          <cell r="G1121" t="str">
            <v>LFH4909WA</v>
          </cell>
          <cell r="H1121" t="str">
            <v>Breather Filter</v>
          </cell>
        </row>
        <row r="1122">
          <cell r="G1122" t="str">
            <v>CAF1781</v>
          </cell>
          <cell r="H1122" t="str">
            <v>Cabin Air Filter</v>
          </cell>
        </row>
        <row r="1123">
          <cell r="G1123" t="str">
            <v>LFP805</v>
          </cell>
          <cell r="H1123" t="str">
            <v>Spin-on Oil Filter</v>
          </cell>
        </row>
        <row r="1124">
          <cell r="G1124" t="str">
            <v>AF5251</v>
          </cell>
          <cell r="H1124" t="str">
            <v>Air Filter</v>
          </cell>
        </row>
        <row r="1125">
          <cell r="G1125" t="str">
            <v>LAF8688</v>
          </cell>
          <cell r="H1125" t="str">
            <v>Radial Seal Inner Air Filter</v>
          </cell>
        </row>
        <row r="1126">
          <cell r="G1126" t="str">
            <v>CAF1898P</v>
          </cell>
          <cell r="H1126" t="str">
            <v>Cabin Air Filter</v>
          </cell>
        </row>
        <row r="1127">
          <cell r="G1127" t="str">
            <v>LAF4638</v>
          </cell>
          <cell r="H1127" t="str">
            <v>Radial Seal Air Filter (Primary)</v>
          </cell>
        </row>
        <row r="1128">
          <cell r="G1128" t="str">
            <v>T647</v>
          </cell>
          <cell r="H1128" t="str">
            <v>Transmission Filter Kit</v>
          </cell>
        </row>
        <row r="1129">
          <cell r="G1129" t="str">
            <v>LFF4511W</v>
          </cell>
          <cell r="H1129" t="str">
            <v>Fuel Dispensing Filter</v>
          </cell>
        </row>
        <row r="1130">
          <cell r="G1130" t="str">
            <v>L8563F</v>
          </cell>
          <cell r="H1130" t="str">
            <v>Snap-Lock Fuel Filter</v>
          </cell>
        </row>
        <row r="1131">
          <cell r="G1131" t="str">
            <v>LAF9200</v>
          </cell>
          <cell r="H1131" t="str">
            <v>HD Metal-End Air Filter</v>
          </cell>
        </row>
        <row r="1132">
          <cell r="G1132" t="str">
            <v>LH8640</v>
          </cell>
          <cell r="H1132" t="str">
            <v>Cartridge Hydraulic Filter</v>
          </cell>
        </row>
        <row r="1133">
          <cell r="G1133" t="str">
            <v>LAF8514</v>
          </cell>
          <cell r="H1133" t="str">
            <v>HD Metal-End Air Filter</v>
          </cell>
        </row>
        <row r="1134">
          <cell r="G1134" t="str">
            <v>CAF1706</v>
          </cell>
          <cell r="H1134" t="str">
            <v>Cabin Air Filter</v>
          </cell>
        </row>
        <row r="1135">
          <cell r="G1135" t="str">
            <v>AF5205</v>
          </cell>
          <cell r="H1135" t="str">
            <v>Flexible Panel Air Filter</v>
          </cell>
        </row>
        <row r="1136">
          <cell r="G1136" t="str">
            <v>LAF9100</v>
          </cell>
          <cell r="H1136" t="str">
            <v>Radial Seal Inner Air Filter</v>
          </cell>
        </row>
        <row r="1137">
          <cell r="G1137" t="str">
            <v>LAF1719</v>
          </cell>
          <cell r="H1137" t="str">
            <v>Round Air Filter</v>
          </cell>
        </row>
        <row r="1138">
          <cell r="G1138" t="str">
            <v>LAF1814</v>
          </cell>
          <cell r="H1138" t="str">
            <v>HD Metal-End Air Filter</v>
          </cell>
        </row>
        <row r="1139">
          <cell r="G1139" t="str">
            <v>LAF4179</v>
          </cell>
          <cell r="H1139" t="str">
            <v>Radial Seal Air Filter (Primary)</v>
          </cell>
        </row>
        <row r="1140">
          <cell r="G1140" t="str">
            <v>L3893F</v>
          </cell>
          <cell r="H1140" t="str">
            <v>Snap-lock Fuel/Water Separator Filter</v>
          </cell>
        </row>
        <row r="1141">
          <cell r="G1141" t="str">
            <v>P3986</v>
          </cell>
          <cell r="H1141" t="str">
            <v>Cartridge Oil Filter</v>
          </cell>
        </row>
        <row r="1142">
          <cell r="G1142" t="str">
            <v>LFP950</v>
          </cell>
          <cell r="H1142" t="str">
            <v>Spin-on Oil Filter</v>
          </cell>
        </row>
        <row r="1143">
          <cell r="G1143" t="str">
            <v>PH24</v>
          </cell>
          <cell r="H1143" t="str">
            <v>Spin-on Oil Filter</v>
          </cell>
        </row>
        <row r="1144">
          <cell r="G1144" t="str">
            <v>LAF8407</v>
          </cell>
          <cell r="H1144" t="str">
            <v>HD Metal-End Air Filter</v>
          </cell>
        </row>
        <row r="1145">
          <cell r="G1145" t="str">
            <v>LFF3802</v>
          </cell>
          <cell r="H1145" t="str">
            <v>Spin-on Fuel Filter</v>
          </cell>
        </row>
        <row r="1146">
          <cell r="G1146" t="str">
            <v>AF3178</v>
          </cell>
          <cell r="H1146" t="str">
            <v>Primary Air Irregular shaped Filter</v>
          </cell>
        </row>
        <row r="1147">
          <cell r="G1147" t="str">
            <v>LAF281</v>
          </cell>
          <cell r="H1147" t="str">
            <v>Finned Vane Air Filter</v>
          </cell>
        </row>
        <row r="1148">
          <cell r="G1148" t="str">
            <v>LFH4635</v>
          </cell>
          <cell r="H1148" t="str">
            <v>Cartridge Hydraulic Filter</v>
          </cell>
        </row>
        <row r="1149">
          <cell r="G1149" t="str">
            <v>LFH7221</v>
          </cell>
          <cell r="H1149" t="str">
            <v>Spin-on Hydraulic Filter</v>
          </cell>
        </row>
        <row r="1150">
          <cell r="G1150" t="str">
            <v>AF1042</v>
          </cell>
          <cell r="H1150" t="str">
            <v>Flexible Panel Air Filter</v>
          </cell>
        </row>
        <row r="1151">
          <cell r="G1151" t="str">
            <v>AF3173</v>
          </cell>
          <cell r="H1151" t="str">
            <v>Panel Air Irregular Shaped Filter</v>
          </cell>
        </row>
        <row r="1152">
          <cell r="G1152" t="str">
            <v>AF3621</v>
          </cell>
          <cell r="H1152" t="str">
            <v>Air Filter</v>
          </cell>
        </row>
        <row r="1153">
          <cell r="G1153" t="str">
            <v>P8153</v>
          </cell>
          <cell r="H1153" t="str">
            <v>Cartridge Oil Filter</v>
          </cell>
        </row>
        <row r="1154">
          <cell r="G1154" t="str">
            <v>AF216</v>
          </cell>
          <cell r="H1154" t="str">
            <v>Round Air Filter</v>
          </cell>
        </row>
        <row r="1155">
          <cell r="G1155" t="str">
            <v>LFP2253</v>
          </cell>
          <cell r="H1155" t="str">
            <v>Spin-on Oil Filter</v>
          </cell>
        </row>
        <row r="1156">
          <cell r="G1156" t="str">
            <v>LFF9753</v>
          </cell>
          <cell r="H1156" t="str">
            <v>Spin-on Fuel Filter</v>
          </cell>
        </row>
        <row r="1157">
          <cell r="G1157" t="str">
            <v>LFP3746</v>
          </cell>
          <cell r="H1157" t="str">
            <v>Spin-on Oil Filter</v>
          </cell>
        </row>
        <row r="1158">
          <cell r="G1158" t="str">
            <v>L3444F</v>
          </cell>
          <cell r="H1158" t="str">
            <v>Snap-lock Fuel/Water Separator Filter</v>
          </cell>
        </row>
        <row r="1159">
          <cell r="G1159" t="str">
            <v>CAF24011XL</v>
          </cell>
          <cell r="H1159" t="str">
            <v>Cabin Air Filter (Carbon) Extreme Clean</v>
          </cell>
        </row>
        <row r="1160">
          <cell r="G1160" t="str">
            <v>LFF3513</v>
          </cell>
          <cell r="H1160" t="str">
            <v>Spin-on Fuel Filter</v>
          </cell>
        </row>
        <row r="1161">
          <cell r="G1161" t="str">
            <v>LAF5864</v>
          </cell>
          <cell r="H1161" t="str">
            <v>Disposible Housing Air Filter</v>
          </cell>
        </row>
        <row r="1162">
          <cell r="G1162" t="str">
            <v>AF4904</v>
          </cell>
          <cell r="H1162" t="str">
            <v>Flexible Panel Air Filter</v>
          </cell>
        </row>
        <row r="1163">
          <cell r="G1163" t="str">
            <v>LH8544</v>
          </cell>
          <cell r="H1163" t="str">
            <v>Cartridge Hydraulic Filter</v>
          </cell>
        </row>
        <row r="1164">
          <cell r="G1164" t="str">
            <v>L10F</v>
          </cell>
          <cell r="H1164" t="str">
            <v>Cartridge Fuel Filter</v>
          </cell>
        </row>
        <row r="1165">
          <cell r="G1165" t="str">
            <v>LFH9353</v>
          </cell>
          <cell r="H1165" t="str">
            <v>Spin-on Hydraulic Filter</v>
          </cell>
        </row>
        <row r="1166">
          <cell r="G1166" t="str">
            <v>LFH4081</v>
          </cell>
          <cell r="H1166" t="str">
            <v>Spin-on Hydraulic Filter</v>
          </cell>
        </row>
        <row r="1167">
          <cell r="G1167" t="str">
            <v>LAF5453</v>
          </cell>
          <cell r="H1167" t="str">
            <v>Corrugated Media Air Filter</v>
          </cell>
        </row>
        <row r="1168">
          <cell r="G1168" t="str">
            <v>AF3615</v>
          </cell>
          <cell r="H1168" t="str">
            <v>Flexible Panel Air Filter</v>
          </cell>
        </row>
        <row r="1169">
          <cell r="G1169" t="str">
            <v>G1036</v>
          </cell>
          <cell r="H1169" t="str">
            <v>In-Line Fuel Filter</v>
          </cell>
        </row>
        <row r="1170">
          <cell r="G1170" t="str">
            <v>LH4916-10</v>
          </cell>
          <cell r="H1170" t="str">
            <v>Cartridge Hydraulic Filter</v>
          </cell>
        </row>
        <row r="1171">
          <cell r="G1171" t="str">
            <v>LAF1782</v>
          </cell>
          <cell r="H1171" t="str">
            <v>Round Air Filter</v>
          </cell>
        </row>
        <row r="1172">
          <cell r="G1172" t="str">
            <v>LFF3527</v>
          </cell>
          <cell r="H1172" t="str">
            <v>Spin-on Fuel Filter</v>
          </cell>
        </row>
        <row r="1173">
          <cell r="G1173" t="str">
            <v>T766</v>
          </cell>
          <cell r="H1173" t="str">
            <v>Transmission Kit sump and spin-on return filter</v>
          </cell>
        </row>
        <row r="1174">
          <cell r="G1174" t="str">
            <v>LAF5789</v>
          </cell>
          <cell r="H1174" t="str">
            <v>Oval Air Filter</v>
          </cell>
        </row>
        <row r="1175">
          <cell r="G1175" t="str">
            <v>LAF8481</v>
          </cell>
          <cell r="H1175" t="str">
            <v>Radial Seal Inner Air Filter</v>
          </cell>
        </row>
        <row r="1176">
          <cell r="G1176" t="str">
            <v>AF4030</v>
          </cell>
          <cell r="H1176" t="str">
            <v>Flexible Panel Air Filter</v>
          </cell>
        </row>
        <row r="1177">
          <cell r="G1177" t="str">
            <v>LAF7315</v>
          </cell>
          <cell r="H1177" t="str">
            <v>HD Metal-End Inner Air Filter</v>
          </cell>
        </row>
        <row r="1178">
          <cell r="G1178" t="str">
            <v>LAF6205</v>
          </cell>
          <cell r="H1178" t="str">
            <v>Radial Seal Air Filter, Primary</v>
          </cell>
        </row>
        <row r="1179">
          <cell r="G1179" t="str">
            <v>LFF7688</v>
          </cell>
          <cell r="H1179" t="str">
            <v>Spin-on Fuel Water Separator Filter</v>
          </cell>
        </row>
        <row r="1180">
          <cell r="G1180" t="str">
            <v>LAF6114</v>
          </cell>
          <cell r="H1180" t="str">
            <v>Radial Seal Outer Air Filter</v>
          </cell>
        </row>
        <row r="1181">
          <cell r="G1181" t="str">
            <v>LFH22034</v>
          </cell>
          <cell r="H1181" t="str">
            <v>Spin-on Hydraulic Filter</v>
          </cell>
        </row>
        <row r="1182">
          <cell r="G1182" t="str">
            <v>CAF24009</v>
          </cell>
          <cell r="H1182" t="str">
            <v>Cabin Air Filter</v>
          </cell>
        </row>
        <row r="1183">
          <cell r="G1183" t="str">
            <v>LAF3236</v>
          </cell>
          <cell r="H1183" t="str">
            <v>Corrugated Media Air Filter</v>
          </cell>
        </row>
        <row r="1184">
          <cell r="G1184" t="str">
            <v>AF5186</v>
          </cell>
          <cell r="H1184" t="str">
            <v>Rigid Panel Air Filter</v>
          </cell>
        </row>
        <row r="1185">
          <cell r="G1185" t="str">
            <v>CAF1726</v>
          </cell>
          <cell r="H1185" t="str">
            <v>Cabin Air Filter</v>
          </cell>
        </row>
        <row r="1186">
          <cell r="G1186" t="str">
            <v>LAF1846</v>
          </cell>
          <cell r="H1186" t="str">
            <v>HD Metal-End Air Filter</v>
          </cell>
        </row>
        <row r="1187">
          <cell r="G1187" t="str">
            <v>LAF1533</v>
          </cell>
          <cell r="H1187" t="str">
            <v>HD Metal-End Air Filter</v>
          </cell>
        </row>
        <row r="1188">
          <cell r="G1188" t="str">
            <v>AF178</v>
          </cell>
          <cell r="H1188" t="str">
            <v>Round Air Filter</v>
          </cell>
        </row>
        <row r="1189">
          <cell r="G1189" t="str">
            <v>AF1301</v>
          </cell>
          <cell r="H1189" t="str">
            <v>Radial Seal Air Filter</v>
          </cell>
        </row>
        <row r="1190">
          <cell r="G1190" t="str">
            <v>LP5730</v>
          </cell>
          <cell r="H1190" t="str">
            <v>Cartridge Oil Filter</v>
          </cell>
        </row>
        <row r="1191">
          <cell r="G1191" t="str">
            <v>CAF1897C</v>
          </cell>
          <cell r="H1191" t="str">
            <v>Cabin Air Filter (Carbon)</v>
          </cell>
        </row>
        <row r="1192">
          <cell r="G1192" t="str">
            <v>LAF1768</v>
          </cell>
          <cell r="H1192" t="str">
            <v>HD Metal-End Air Filter with Attached Lid</v>
          </cell>
        </row>
        <row r="1193">
          <cell r="G1193" t="str">
            <v>LAF5454</v>
          </cell>
          <cell r="H1193" t="str">
            <v>Panel Air Filter Irregular Shaped</v>
          </cell>
        </row>
        <row r="1194">
          <cell r="G1194" t="str">
            <v>LFH8263</v>
          </cell>
          <cell r="H1194" t="str">
            <v>Spin-on Hydraulic Filter</v>
          </cell>
        </row>
        <row r="1195">
          <cell r="G1195" t="str">
            <v>LAF210</v>
          </cell>
          <cell r="H1195" t="str">
            <v>HD Metal-End Air Filter</v>
          </cell>
        </row>
        <row r="1196">
          <cell r="G1196" t="str">
            <v>LH9351</v>
          </cell>
          <cell r="H1196" t="str">
            <v>Cartridge Hydraulic Filter</v>
          </cell>
        </row>
        <row r="1197">
          <cell r="G1197" t="str">
            <v>LFH8207</v>
          </cell>
          <cell r="H1197" t="str">
            <v>Spin-on Hydraulic Filter</v>
          </cell>
        </row>
        <row r="1198">
          <cell r="G1198" t="str">
            <v>LAF562</v>
          </cell>
          <cell r="H1198" t="str">
            <v>HD Metal-End Air Filter</v>
          </cell>
        </row>
        <row r="1199">
          <cell r="G1199" t="str">
            <v>CAF1907P</v>
          </cell>
          <cell r="H1199" t="str">
            <v>Cabin Air Filter</v>
          </cell>
        </row>
        <row r="1200">
          <cell r="G1200" t="str">
            <v>CAF1866C</v>
          </cell>
          <cell r="H1200" t="str">
            <v>Cabin Air Filter (Carbon)</v>
          </cell>
        </row>
        <row r="1201">
          <cell r="G1201" t="str">
            <v>P984</v>
          </cell>
          <cell r="H1201" t="str">
            <v>Cartridge Oil Filter</v>
          </cell>
        </row>
        <row r="1202">
          <cell r="G1202" t="str">
            <v>LAF8531</v>
          </cell>
          <cell r="H1202" t="str">
            <v>Cone Shaped Conical Air Filter</v>
          </cell>
        </row>
        <row r="1203">
          <cell r="G1203" t="str">
            <v>L6268F</v>
          </cell>
          <cell r="H1203" t="str">
            <v>Snap-lock Fuel/Water Separator Filter</v>
          </cell>
        </row>
        <row r="1204">
          <cell r="G1204" t="str">
            <v>LH8506</v>
          </cell>
          <cell r="H1204" t="str">
            <v>Cartridge Hydraulic Filter</v>
          </cell>
        </row>
        <row r="1205">
          <cell r="G1205" t="str">
            <v>AF3619</v>
          </cell>
          <cell r="H1205" t="str">
            <v>Air Filter</v>
          </cell>
        </row>
        <row r="1206">
          <cell r="G1206" t="str">
            <v>LAF4511</v>
          </cell>
          <cell r="H1206" t="str">
            <v>Disposible Housing Air Filter</v>
          </cell>
        </row>
        <row r="1207">
          <cell r="G1207" t="str">
            <v>CAF1900P</v>
          </cell>
          <cell r="H1207" t="str">
            <v>Cabin Air Filter</v>
          </cell>
        </row>
        <row r="1208">
          <cell r="G1208" t="str">
            <v>LFW4422</v>
          </cell>
          <cell r="H1208" t="str">
            <v>Spin-on Coolant Filter</v>
          </cell>
        </row>
        <row r="1209">
          <cell r="G1209" t="str">
            <v>LAF1881</v>
          </cell>
          <cell r="H1209" t="str">
            <v>HD Metal-End Air Filter</v>
          </cell>
        </row>
        <row r="1210">
          <cell r="G1210" t="str">
            <v>LAF3663</v>
          </cell>
          <cell r="H1210" t="str">
            <v>Radial Seal Outer Air Filter</v>
          </cell>
        </row>
        <row r="1211">
          <cell r="G1211" t="str">
            <v>LAF22029</v>
          </cell>
          <cell r="H1211" t="str">
            <v>Radial Seal Outer Air Filter</v>
          </cell>
        </row>
        <row r="1212">
          <cell r="G1212" t="str">
            <v>LAF1879</v>
          </cell>
          <cell r="H1212" t="str">
            <v>Panel Air Filter Metal Framed</v>
          </cell>
        </row>
        <row r="1213">
          <cell r="G1213" t="str">
            <v>LAF2536MXM</v>
          </cell>
          <cell r="H1213" t="str">
            <v>Nano Tech HD Metal-End Air Filter Outer</v>
          </cell>
        </row>
        <row r="1214">
          <cell r="G1214" t="str">
            <v>LP3660</v>
          </cell>
          <cell r="H1214" t="str">
            <v>Cartridge Oil Filter</v>
          </cell>
        </row>
        <row r="1215">
          <cell r="G1215" t="str">
            <v>AF3095</v>
          </cell>
          <cell r="H1215" t="str">
            <v>Rigid Panel Air Filter</v>
          </cell>
        </row>
        <row r="1216">
          <cell r="G1216" t="str">
            <v>LFH6812</v>
          </cell>
          <cell r="H1216" t="str">
            <v>Spin-on Hydraulic Filter</v>
          </cell>
        </row>
        <row r="1217">
          <cell r="G1217" t="str">
            <v>FT100</v>
          </cell>
          <cell r="H1217" t="str">
            <v>FFD2 Filter and Mounting Base Assembly</v>
          </cell>
        </row>
        <row r="1218">
          <cell r="G1218" t="str">
            <v>LFF7284</v>
          </cell>
          <cell r="H1218" t="str">
            <v>Cartridge Fuel/Water Separator Filter</v>
          </cell>
        </row>
        <row r="1219">
          <cell r="G1219" t="str">
            <v>LFF8727</v>
          </cell>
          <cell r="H1219" t="str">
            <v>Spin-on Fuel Filter</v>
          </cell>
        </row>
        <row r="1220">
          <cell r="G1220" t="str">
            <v>CAF1850P</v>
          </cell>
          <cell r="H1220" t="str">
            <v>Cabin Air Filter</v>
          </cell>
        </row>
        <row r="1221">
          <cell r="G1221" t="str">
            <v>LAF3890</v>
          </cell>
          <cell r="H1221" t="str">
            <v>Radial Seal Inner Air Filter</v>
          </cell>
        </row>
        <row r="1222">
          <cell r="G1222" t="str">
            <v>LAF942</v>
          </cell>
          <cell r="H1222" t="str">
            <v>HD Metal-End Air Filter</v>
          </cell>
        </row>
        <row r="1223">
          <cell r="G1223" t="str">
            <v>LFP2538</v>
          </cell>
          <cell r="H1223" t="str">
            <v>Spin-on Oil Filter</v>
          </cell>
        </row>
        <row r="1224">
          <cell r="G1224" t="str">
            <v>LFF8061U</v>
          </cell>
          <cell r="H1224" t="str">
            <v>Spin-on Fuel Filter</v>
          </cell>
        </row>
        <row r="1225">
          <cell r="G1225" t="str">
            <v>PH26</v>
          </cell>
          <cell r="H1225" t="str">
            <v>Spin-on Oil Filter</v>
          </cell>
        </row>
        <row r="1226">
          <cell r="G1226" t="str">
            <v>LAF8146</v>
          </cell>
          <cell r="H1226" t="str">
            <v>Radial Seal Outer Air Filter</v>
          </cell>
        </row>
        <row r="1227">
          <cell r="G1227" t="str">
            <v>LAF6151</v>
          </cell>
          <cell r="H1227" t="str">
            <v>Radial Seal Outer Air Filter</v>
          </cell>
        </row>
        <row r="1228">
          <cell r="G1228" t="str">
            <v>AF3202</v>
          </cell>
          <cell r="H1228" t="str">
            <v>Air Filter</v>
          </cell>
        </row>
        <row r="1229">
          <cell r="G1229" t="str">
            <v>LFP2215</v>
          </cell>
          <cell r="H1229" t="str">
            <v>Spin-on Oil Filter</v>
          </cell>
        </row>
        <row r="1230">
          <cell r="G1230" t="str">
            <v>CAF24020</v>
          </cell>
          <cell r="H1230" t="str">
            <v>Cabin Air Filter</v>
          </cell>
        </row>
        <row r="1231">
          <cell r="G1231" t="str">
            <v>CAF1820P</v>
          </cell>
          <cell r="H1231" t="str">
            <v>Cabin Air Filter</v>
          </cell>
        </row>
        <row r="1232">
          <cell r="G1232" t="str">
            <v>CAF1846P</v>
          </cell>
          <cell r="H1232" t="str">
            <v>Cabin Air Filter</v>
          </cell>
        </row>
        <row r="1233">
          <cell r="G1233" t="str">
            <v>LFP2100C</v>
          </cell>
          <cell r="H1233" t="str">
            <v>Spin-on Fuel Water Separator Coalescer Filter</v>
          </cell>
        </row>
        <row r="1234">
          <cell r="G1234" t="str">
            <v>LAF5429</v>
          </cell>
          <cell r="H1234" t="str">
            <v>Conical Radial Seal Air filter Outer</v>
          </cell>
        </row>
        <row r="1235">
          <cell r="G1235" t="str">
            <v>LAF1820</v>
          </cell>
          <cell r="H1235" t="str">
            <v>HD Metal-End Air Filter</v>
          </cell>
        </row>
        <row r="1236">
          <cell r="G1236" t="str">
            <v>LOSK-3</v>
          </cell>
          <cell r="H1236" t="str">
            <v>Oil Analysis Test Kit</v>
          </cell>
        </row>
        <row r="1237">
          <cell r="G1237" t="str">
            <v>LAF2821</v>
          </cell>
          <cell r="H1237" t="str">
            <v>HD Metal-End Air Filter with Attached Lid</v>
          </cell>
        </row>
        <row r="1238">
          <cell r="G1238" t="str">
            <v>LAF1799</v>
          </cell>
          <cell r="H1238" t="str">
            <v>Disposible Housing Air Filter</v>
          </cell>
        </row>
        <row r="1239">
          <cell r="G1239" t="str">
            <v>LAF8791</v>
          </cell>
          <cell r="H1239" t="str">
            <v>Cabin Air Filter Panel</v>
          </cell>
        </row>
        <row r="1240">
          <cell r="G1240" t="str">
            <v>AF3996</v>
          </cell>
          <cell r="H1240" t="str">
            <v>Rigid Panel Air Filter</v>
          </cell>
        </row>
        <row r="1241">
          <cell r="G1241" t="str">
            <v>CAF1908P</v>
          </cell>
          <cell r="H1241" t="str">
            <v>Cabin Air Filter</v>
          </cell>
        </row>
        <row r="1242">
          <cell r="G1242" t="str">
            <v>AF92</v>
          </cell>
          <cell r="H1242" t="str">
            <v>Round Air Filter</v>
          </cell>
        </row>
        <row r="1243">
          <cell r="G1243" t="str">
            <v>LFP2230</v>
          </cell>
          <cell r="H1243" t="str">
            <v>Spin-on Oil Filter</v>
          </cell>
        </row>
        <row r="1244">
          <cell r="G1244" t="str">
            <v>CAF24017</v>
          </cell>
          <cell r="H1244" t="str">
            <v>Cabin Air Filter</v>
          </cell>
        </row>
        <row r="1245">
          <cell r="G1245" t="str">
            <v>AF101</v>
          </cell>
          <cell r="H1245" t="str">
            <v>Round Air Filter</v>
          </cell>
        </row>
        <row r="1246">
          <cell r="G1246" t="str">
            <v>CAF1852P</v>
          </cell>
          <cell r="H1246" t="str">
            <v>Cabin Air Filter</v>
          </cell>
        </row>
        <row r="1247">
          <cell r="G1247" t="str">
            <v>AF4062</v>
          </cell>
          <cell r="H1247" t="str">
            <v>Rigid Panel Air Filter</v>
          </cell>
        </row>
        <row r="1248">
          <cell r="G1248" t="str">
            <v>LAF6003</v>
          </cell>
          <cell r="H1248" t="str">
            <v>Disposible Housing Air Filter</v>
          </cell>
        </row>
        <row r="1249">
          <cell r="G1249" t="str">
            <v>LAF3951</v>
          </cell>
          <cell r="H1249" t="str">
            <v>Radial Seal Outer Air Filter</v>
          </cell>
        </row>
        <row r="1250">
          <cell r="G1250" t="str">
            <v>LAF22025</v>
          </cell>
          <cell r="H1250" t="str">
            <v>Oval Air Filter</v>
          </cell>
        </row>
        <row r="1251">
          <cell r="G1251" t="str">
            <v>T867</v>
          </cell>
          <cell r="H1251" t="str">
            <v>Transmission Filter</v>
          </cell>
        </row>
        <row r="1252">
          <cell r="G1252" t="str">
            <v>L8679F</v>
          </cell>
          <cell r="H1252" t="str">
            <v>Snap-Lock Fuel Filter</v>
          </cell>
        </row>
        <row r="1253">
          <cell r="G1253" t="str">
            <v>LAF8383</v>
          </cell>
          <cell r="H1253" t="str">
            <v>Round Air Filter</v>
          </cell>
        </row>
        <row r="1254">
          <cell r="G1254" t="str">
            <v>LFH1832</v>
          </cell>
          <cell r="H1254" t="str">
            <v>Spin-on Hydraulic Filter</v>
          </cell>
        </row>
        <row r="1255">
          <cell r="G1255" t="str">
            <v>LFF5645</v>
          </cell>
          <cell r="H1255" t="str">
            <v>Spin-on Fuel Filter</v>
          </cell>
        </row>
        <row r="1256">
          <cell r="G1256" t="str">
            <v>LAF1675</v>
          </cell>
          <cell r="H1256" t="str">
            <v>Flexible Panel Air Filter</v>
          </cell>
        </row>
        <row r="1257">
          <cell r="G1257" t="str">
            <v>LAF290A</v>
          </cell>
          <cell r="H1257" t="str">
            <v>HD Metal-End Air Filter</v>
          </cell>
        </row>
        <row r="1258">
          <cell r="G1258" t="str">
            <v>AF315</v>
          </cell>
          <cell r="H1258" t="str">
            <v>Round Air Filter</v>
          </cell>
        </row>
        <row r="1259">
          <cell r="G1259" t="str">
            <v>CAF24008</v>
          </cell>
          <cell r="H1259" t="str">
            <v>Cabin Air Filter</v>
          </cell>
        </row>
        <row r="1260">
          <cell r="G1260" t="str">
            <v>LFF5850U</v>
          </cell>
          <cell r="H1260" t="str">
            <v>Bowless Fuel Water Separator Filter</v>
          </cell>
        </row>
        <row r="1261">
          <cell r="G1261" t="str">
            <v>LK162D</v>
          </cell>
          <cell r="H1261" t="str">
            <v>Detroit Diesel Engine Maintenance Kit</v>
          </cell>
        </row>
        <row r="1262">
          <cell r="G1262" t="str">
            <v>AF1043</v>
          </cell>
          <cell r="H1262" t="str">
            <v>Flexible Panel Air Filter</v>
          </cell>
        </row>
        <row r="1263">
          <cell r="G1263" t="str">
            <v>T667</v>
          </cell>
          <cell r="H1263" t="str">
            <v>Transmission Filter Kit</v>
          </cell>
        </row>
        <row r="1264">
          <cell r="G1264" t="str">
            <v>LFP8964</v>
          </cell>
          <cell r="H1264" t="str">
            <v>Spin-on Oil Filter</v>
          </cell>
        </row>
        <row r="1265">
          <cell r="G1265" t="str">
            <v>LFP7174</v>
          </cell>
          <cell r="H1265" t="str">
            <v>Spin-on Oil Filter</v>
          </cell>
        </row>
        <row r="1266">
          <cell r="G1266" t="str">
            <v>LFF4511W-30</v>
          </cell>
          <cell r="H1266" t="str">
            <v>Fuel Dispensing Filter</v>
          </cell>
        </row>
        <row r="1267">
          <cell r="G1267" t="str">
            <v>LFF3343</v>
          </cell>
          <cell r="H1267" t="str">
            <v>Spin-on Fuel Filter</v>
          </cell>
        </row>
        <row r="1268">
          <cell r="G1268" t="str">
            <v>T643</v>
          </cell>
          <cell r="H1268" t="str">
            <v>Transmission Filter Kit</v>
          </cell>
        </row>
        <row r="1269">
          <cell r="G1269" t="str">
            <v>AF5193</v>
          </cell>
          <cell r="H1269" t="str">
            <v>Rigid Panel Air Filter</v>
          </cell>
        </row>
        <row r="1270">
          <cell r="G1270" t="str">
            <v>AF210</v>
          </cell>
          <cell r="H1270" t="str">
            <v>Round Air Filter</v>
          </cell>
        </row>
        <row r="1271">
          <cell r="G1271" t="str">
            <v>L5109F</v>
          </cell>
          <cell r="H1271" t="str">
            <v>Cartridge Fuel Water Separator Filter</v>
          </cell>
        </row>
        <row r="1272">
          <cell r="G1272" t="str">
            <v>T656</v>
          </cell>
          <cell r="H1272" t="str">
            <v>Transmission Filter Kit</v>
          </cell>
        </row>
        <row r="1273">
          <cell r="G1273" t="str">
            <v>LFH4960</v>
          </cell>
          <cell r="H1273" t="str">
            <v>Spin-on Hydraulic Filter</v>
          </cell>
        </row>
        <row r="1274">
          <cell r="G1274" t="str">
            <v>LFF6924</v>
          </cell>
          <cell r="H1274" t="str">
            <v>Spin-on Fuel Filter</v>
          </cell>
        </row>
        <row r="1275">
          <cell r="G1275" t="str">
            <v>LAF1163</v>
          </cell>
          <cell r="H1275" t="str">
            <v>HD Metal-End Air Filter</v>
          </cell>
        </row>
        <row r="1276">
          <cell r="G1276" t="str">
            <v>LAF4482</v>
          </cell>
          <cell r="H1276" t="str">
            <v>Disposible Housing Air Filter</v>
          </cell>
        </row>
        <row r="1277">
          <cell r="G1277" t="str">
            <v>L3881F</v>
          </cell>
          <cell r="H1277" t="str">
            <v>Snap-Lock Fuel Filter</v>
          </cell>
        </row>
        <row r="1278">
          <cell r="G1278" t="str">
            <v>LFH8412</v>
          </cell>
          <cell r="H1278" t="str">
            <v>Spin-on Hydraulic Filter</v>
          </cell>
        </row>
        <row r="1279">
          <cell r="G1279" t="str">
            <v>LH8543</v>
          </cell>
          <cell r="H1279" t="str">
            <v>Cartridge Hydraulic Filter</v>
          </cell>
        </row>
        <row r="1280">
          <cell r="G1280" t="str">
            <v>LH8414G</v>
          </cell>
          <cell r="H1280" t="str">
            <v>Cartridge Hydraulic Filter</v>
          </cell>
        </row>
        <row r="1281">
          <cell r="G1281" t="str">
            <v>LAF160</v>
          </cell>
          <cell r="H1281" t="str">
            <v>HD Metal-End Air Filter</v>
          </cell>
        </row>
        <row r="1282">
          <cell r="G1282" t="str">
            <v>AF3148</v>
          </cell>
          <cell r="H1282" t="str">
            <v>Flexible Panel Air Filter</v>
          </cell>
        </row>
        <row r="1283">
          <cell r="G1283" t="str">
            <v>LAF4340</v>
          </cell>
          <cell r="H1283" t="str">
            <v>Cabin Air Filter</v>
          </cell>
        </row>
        <row r="1284">
          <cell r="G1284" t="str">
            <v>LAF388B</v>
          </cell>
          <cell r="H1284" t="str">
            <v>Round Air Filter with Foam Wrap</v>
          </cell>
        </row>
        <row r="1285">
          <cell r="G1285">
            <v>3566</v>
          </cell>
          <cell r="H1285" t="str">
            <v>Clamping Ring Assembly/500-C, 750-C, CT, 2C, 3C</v>
          </cell>
        </row>
        <row r="1286">
          <cell r="G1286" t="str">
            <v>P908</v>
          </cell>
          <cell r="H1286" t="str">
            <v>Cartridge Oil Filter</v>
          </cell>
        </row>
        <row r="1287">
          <cell r="G1287" t="str">
            <v>LAF4526</v>
          </cell>
          <cell r="H1287" t="str">
            <v>Radial Seal Outer Air Filter</v>
          </cell>
        </row>
        <row r="1288">
          <cell r="G1288" t="str">
            <v>LAF3780</v>
          </cell>
          <cell r="H1288" t="str">
            <v>Panel Air Filter Irregular Shaped</v>
          </cell>
        </row>
        <row r="1289">
          <cell r="G1289" t="str">
            <v>CAF1810C</v>
          </cell>
          <cell r="H1289" t="str">
            <v>Cabin Air Filter (Carbon)</v>
          </cell>
        </row>
        <row r="1290">
          <cell r="G1290" t="str">
            <v>LAF47</v>
          </cell>
          <cell r="H1290" t="str">
            <v>HD Metal-End Air Filter</v>
          </cell>
        </row>
        <row r="1291">
          <cell r="G1291" t="str">
            <v>LAF5482</v>
          </cell>
          <cell r="H1291" t="str">
            <v>Cabin Air Filter</v>
          </cell>
        </row>
        <row r="1292">
          <cell r="G1292" t="str">
            <v>LH22064</v>
          </cell>
          <cell r="H1292" t="str">
            <v>Cartridge Hydraulic Filter</v>
          </cell>
        </row>
        <row r="1293">
          <cell r="G1293" t="str">
            <v>LFP2267</v>
          </cell>
          <cell r="H1293" t="str">
            <v>Spin-on Oil Filter</v>
          </cell>
        </row>
        <row r="1294">
          <cell r="G1294" t="str">
            <v>LFP2287</v>
          </cell>
          <cell r="H1294" t="str">
            <v>Spin-on Hydraulic Filter</v>
          </cell>
        </row>
        <row r="1295">
          <cell r="G1295" t="str">
            <v>LAF8552</v>
          </cell>
          <cell r="H1295" t="str">
            <v>HD Round Air Filter with Attached Boot</v>
          </cell>
        </row>
        <row r="1296">
          <cell r="G1296" t="str">
            <v>LFH9367</v>
          </cell>
          <cell r="H1296" t="str">
            <v>Spin-on Hydraulic Filter</v>
          </cell>
        </row>
        <row r="1297">
          <cell r="G1297" t="str">
            <v>CAF1751</v>
          </cell>
          <cell r="H1297" t="str">
            <v>Cabin Air Filter</v>
          </cell>
        </row>
        <row r="1298">
          <cell r="G1298" t="str">
            <v>AF4066</v>
          </cell>
          <cell r="H1298" t="str">
            <v>Flexible Panel Air Filter</v>
          </cell>
        </row>
        <row r="1299">
          <cell r="G1299" t="str">
            <v>LAF3237</v>
          </cell>
          <cell r="H1299" t="str">
            <v>Special Configuration Air Filter</v>
          </cell>
        </row>
        <row r="1300">
          <cell r="G1300" t="str">
            <v>CAF1864P</v>
          </cell>
          <cell r="H1300" t="str">
            <v>Cabin Air Filter</v>
          </cell>
        </row>
        <row r="1301">
          <cell r="G1301" t="str">
            <v>G645</v>
          </cell>
          <cell r="H1301" t="str">
            <v>In-Line Fuel Filter</v>
          </cell>
        </row>
        <row r="1302">
          <cell r="G1302" t="str">
            <v>LAF8487</v>
          </cell>
          <cell r="H1302" t="str">
            <v>Disposible Housing Air Filter</v>
          </cell>
        </row>
        <row r="1303">
          <cell r="G1303" t="str">
            <v>CAF1848P</v>
          </cell>
          <cell r="H1303" t="str">
            <v>Cabin Air Filter</v>
          </cell>
        </row>
        <row r="1304">
          <cell r="G1304" t="str">
            <v>LAF4621</v>
          </cell>
          <cell r="H1304" t="str">
            <v>Radial Seal Inner Air Filter</v>
          </cell>
        </row>
        <row r="1305">
          <cell r="G1305" t="str">
            <v>LAF9097MXM</v>
          </cell>
          <cell r="H1305" t="str">
            <v>Nano Tech Air Filter Finned Vane</v>
          </cell>
        </row>
        <row r="1306">
          <cell r="G1306" t="str">
            <v>LAF8111</v>
          </cell>
          <cell r="H1306" t="str">
            <v>Radial Seal Inner Air Filter</v>
          </cell>
        </row>
        <row r="1307">
          <cell r="G1307" t="str">
            <v>LFH8335</v>
          </cell>
          <cell r="H1307" t="str">
            <v>Spin-on Hydraulic Filter</v>
          </cell>
        </row>
        <row r="1308">
          <cell r="G1308" t="str">
            <v>L901B</v>
          </cell>
          <cell r="H1308" t="str">
            <v>Glass Bowl</v>
          </cell>
        </row>
        <row r="1309">
          <cell r="G1309" t="str">
            <v>LFP9001XL</v>
          </cell>
          <cell r="H1309" t="str">
            <v>Spin-on Oil Filter</v>
          </cell>
        </row>
        <row r="1310">
          <cell r="G1310" t="str">
            <v>LAF121</v>
          </cell>
          <cell r="H1310" t="str">
            <v>Round Air Filter</v>
          </cell>
        </row>
        <row r="1311">
          <cell r="G1311" t="str">
            <v>LAF5818</v>
          </cell>
          <cell r="H1311" t="str">
            <v>Rigid Panel Air Filter</v>
          </cell>
        </row>
        <row r="1312">
          <cell r="G1312" t="str">
            <v>LH2512</v>
          </cell>
          <cell r="H1312" t="str">
            <v>Cartridge Power Steering (Hydraulic) Filter</v>
          </cell>
        </row>
        <row r="1313">
          <cell r="G1313" t="str">
            <v>LAF6641</v>
          </cell>
          <cell r="H1313" t="str">
            <v>Round Inner Air Filter</v>
          </cell>
        </row>
        <row r="1314">
          <cell r="G1314" t="str">
            <v>LAF3717</v>
          </cell>
          <cell r="H1314" t="str">
            <v>HD Round Air Filter with Attached Boot</v>
          </cell>
        </row>
        <row r="1315">
          <cell r="G1315" t="str">
            <v>L8892F</v>
          </cell>
          <cell r="H1315" t="str">
            <v>Snap-Lock Fuel Filter</v>
          </cell>
        </row>
        <row r="1316">
          <cell r="G1316" t="str">
            <v>LFF5357</v>
          </cell>
          <cell r="H1316" t="str">
            <v>Fuel/Water Separator Spin-on Filter</v>
          </cell>
        </row>
        <row r="1317">
          <cell r="G1317" t="str">
            <v>L8721F</v>
          </cell>
          <cell r="H1317" t="str">
            <v>Snap-Lock Fuel Filter</v>
          </cell>
        </row>
        <row r="1318">
          <cell r="G1318" t="str">
            <v>LAF503</v>
          </cell>
          <cell r="H1318" t="str">
            <v>HD Metal-End Air Filter</v>
          </cell>
        </row>
        <row r="1319">
          <cell r="G1319" t="str">
            <v>LAF8641</v>
          </cell>
          <cell r="H1319" t="str">
            <v>HD Metal-End Air Filter</v>
          </cell>
        </row>
        <row r="1320">
          <cell r="G1320" t="str">
            <v>LFF3396</v>
          </cell>
          <cell r="H1320" t="str">
            <v>Spin-on Fuel Filter</v>
          </cell>
        </row>
        <row r="1321">
          <cell r="G1321" t="str">
            <v>T866</v>
          </cell>
          <cell r="H1321" t="str">
            <v>Transmission Filter</v>
          </cell>
        </row>
        <row r="1322">
          <cell r="G1322" t="str">
            <v>T196</v>
          </cell>
          <cell r="H1322" t="str">
            <v>Transmission Filter Kit</v>
          </cell>
        </row>
        <row r="1323">
          <cell r="G1323" t="str">
            <v>LAF7234</v>
          </cell>
          <cell r="H1323" t="str">
            <v>Flexible Panel Air Filter</v>
          </cell>
        </row>
        <row r="1324">
          <cell r="G1324" t="str">
            <v>LFW4018</v>
          </cell>
          <cell r="H1324" t="str">
            <v>Spin-on Coolant Filter</v>
          </cell>
        </row>
        <row r="1325">
          <cell r="G1325" t="str">
            <v>LAF558</v>
          </cell>
          <cell r="H1325" t="str">
            <v>HD Metal-End Air Filter</v>
          </cell>
        </row>
        <row r="1326">
          <cell r="G1326" t="str">
            <v>AF215</v>
          </cell>
          <cell r="H1326" t="str">
            <v>Round Air Filter</v>
          </cell>
        </row>
        <row r="1327">
          <cell r="G1327" t="str">
            <v>LFH8799</v>
          </cell>
          <cell r="H1327" t="str">
            <v>Spin-on Hydraulic Filter</v>
          </cell>
        </row>
        <row r="1328">
          <cell r="G1328" t="str">
            <v>LAF6907</v>
          </cell>
          <cell r="H1328" t="str">
            <v>Air Filter (Precleaner)</v>
          </cell>
        </row>
        <row r="1329">
          <cell r="G1329" t="str">
            <v>LFH8500</v>
          </cell>
          <cell r="H1329" t="str">
            <v>Spin-on Hydraulic Filter</v>
          </cell>
        </row>
        <row r="1330">
          <cell r="G1330" t="str">
            <v>LAF7757</v>
          </cell>
          <cell r="H1330" t="str">
            <v>Metal-End Air Filter with Closed Top End Cap</v>
          </cell>
        </row>
        <row r="1331">
          <cell r="G1331" t="str">
            <v>PC356</v>
          </cell>
          <cell r="H1331" t="str">
            <v>PCV Valve</v>
          </cell>
        </row>
        <row r="1332">
          <cell r="G1332" t="str">
            <v>LAF8647</v>
          </cell>
          <cell r="H1332" t="str">
            <v>HD Metal-End Air Filter with Attached Lid</v>
          </cell>
        </row>
        <row r="1333">
          <cell r="G1333" t="str">
            <v>CAF24007XL</v>
          </cell>
          <cell r="H1333" t="str">
            <v>Cabin Air Filter (Carbon) Extreme Clean</v>
          </cell>
        </row>
        <row r="1334">
          <cell r="G1334" t="str">
            <v>LFP2221</v>
          </cell>
          <cell r="H1334" t="str">
            <v>Spin-on Oil Filter</v>
          </cell>
        </row>
        <row r="1335">
          <cell r="G1335" t="str">
            <v>AF5220</v>
          </cell>
          <cell r="H1335" t="str">
            <v>Rigid Panel Air Filter</v>
          </cell>
        </row>
        <row r="1336">
          <cell r="G1336" t="str">
            <v>LP2235</v>
          </cell>
          <cell r="H1336" t="str">
            <v>Cartridge Oil Filter</v>
          </cell>
        </row>
        <row r="1337">
          <cell r="G1337" t="str">
            <v>G6628</v>
          </cell>
          <cell r="H1337" t="str">
            <v>In-Line Fuel Filter</v>
          </cell>
        </row>
        <row r="1338">
          <cell r="G1338" t="str">
            <v>AF329</v>
          </cell>
          <cell r="H1338" t="str">
            <v>Round Air Filter</v>
          </cell>
        </row>
        <row r="1339">
          <cell r="G1339" t="str">
            <v>LFP2303</v>
          </cell>
          <cell r="H1339" t="str">
            <v>Spin-on Oil Filter</v>
          </cell>
        </row>
        <row r="1340">
          <cell r="G1340" t="str">
            <v>LH4263</v>
          </cell>
          <cell r="H1340" t="str">
            <v>Cartridge Transmission (Hydraulic) Filter</v>
          </cell>
        </row>
        <row r="1341">
          <cell r="G1341" t="str">
            <v>LK368CA</v>
          </cell>
          <cell r="H1341" t="str">
            <v>Caterpillar Maintenance Kit</v>
          </cell>
        </row>
        <row r="1342">
          <cell r="G1342" t="str">
            <v>LAF1716</v>
          </cell>
          <cell r="H1342" t="str">
            <v>HD Metal-End Air Filter</v>
          </cell>
        </row>
        <row r="1343">
          <cell r="G1343" t="str">
            <v>CAF1847C</v>
          </cell>
          <cell r="H1343" t="str">
            <v>Cabin Air Filter (Carbon)</v>
          </cell>
        </row>
        <row r="1344">
          <cell r="G1344" t="str">
            <v>LAF5430</v>
          </cell>
          <cell r="H1344" t="str">
            <v>Conical Radial Seal Air filter Inner</v>
          </cell>
        </row>
        <row r="1345">
          <cell r="G1345" t="str">
            <v>LAF760A</v>
          </cell>
          <cell r="H1345" t="str">
            <v>HD Metal-End Air Filter</v>
          </cell>
        </row>
        <row r="1346">
          <cell r="G1346" t="str">
            <v>L3561F</v>
          </cell>
          <cell r="H1346" t="str">
            <v>Cartridge Fuel Filter</v>
          </cell>
        </row>
        <row r="1347">
          <cell r="G1347" t="str">
            <v>PH2856A</v>
          </cell>
          <cell r="H1347" t="str">
            <v>Spin-on Oil Filter</v>
          </cell>
        </row>
        <row r="1348">
          <cell r="G1348" t="str">
            <v>CAF1849P</v>
          </cell>
          <cell r="H1348" t="str">
            <v>Cabin Air Filter</v>
          </cell>
        </row>
        <row r="1349">
          <cell r="G1349" t="str">
            <v>LFP8501</v>
          </cell>
          <cell r="H1349" t="str">
            <v>Spin-on Oil Filter</v>
          </cell>
        </row>
        <row r="1350">
          <cell r="G1350" t="str">
            <v>LFP2473</v>
          </cell>
          <cell r="H1350" t="str">
            <v>Spin-on Oil Filter</v>
          </cell>
        </row>
        <row r="1351">
          <cell r="G1351" t="str">
            <v>FP863F</v>
          </cell>
          <cell r="H1351" t="str">
            <v>Spin-on Fuel Water Separator Filter</v>
          </cell>
        </row>
        <row r="1352">
          <cell r="G1352" t="str">
            <v>LAF8777</v>
          </cell>
          <cell r="H1352" t="str">
            <v>Flexible Panel Air Filter</v>
          </cell>
        </row>
        <row r="1353">
          <cell r="G1353" t="str">
            <v>LAF8115</v>
          </cell>
          <cell r="H1353" t="str">
            <v>Radial Seal Inner Air Filter</v>
          </cell>
        </row>
        <row r="1354">
          <cell r="G1354" t="str">
            <v>LFF8041</v>
          </cell>
          <cell r="H1354" t="str">
            <v>Spin-on Fuel Water Separator Filter</v>
          </cell>
        </row>
        <row r="1355">
          <cell r="G1355" t="str">
            <v>LAF965</v>
          </cell>
          <cell r="H1355" t="str">
            <v>Round Air Filter</v>
          </cell>
        </row>
        <row r="1356">
          <cell r="G1356" t="str">
            <v>LH4237</v>
          </cell>
          <cell r="H1356" t="str">
            <v>Cartridge Hydraulic Filter</v>
          </cell>
        </row>
        <row r="1357">
          <cell r="G1357" t="str">
            <v>AF3083</v>
          </cell>
          <cell r="H1357" t="str">
            <v>Rigid Panel Air Filter</v>
          </cell>
        </row>
        <row r="1358">
          <cell r="G1358" t="str">
            <v>G800</v>
          </cell>
          <cell r="H1358" t="str">
            <v>In-Line Fuel Filter</v>
          </cell>
        </row>
        <row r="1359">
          <cell r="G1359" t="str">
            <v>LFP5010</v>
          </cell>
          <cell r="H1359" t="str">
            <v>Spin-on Oil Filter</v>
          </cell>
        </row>
        <row r="1360">
          <cell r="G1360" t="str">
            <v>LAF7716</v>
          </cell>
          <cell r="H1360" t="str">
            <v>HD Metal-End Air Filter</v>
          </cell>
        </row>
        <row r="1361">
          <cell r="G1361" t="str">
            <v>LFF8676</v>
          </cell>
          <cell r="H1361" t="str">
            <v>Spin-on Fuel Filter</v>
          </cell>
        </row>
        <row r="1362">
          <cell r="G1362" t="str">
            <v>AF5189</v>
          </cell>
          <cell r="H1362" t="str">
            <v>Rigid Panel Air Filter</v>
          </cell>
        </row>
        <row r="1363">
          <cell r="G1363" t="str">
            <v>LFF8021</v>
          </cell>
          <cell r="H1363" t="str">
            <v>Spin-on Fuel Water Separator Filter</v>
          </cell>
        </row>
        <row r="1364">
          <cell r="G1364" t="str">
            <v>LAF3713</v>
          </cell>
          <cell r="H1364" t="str">
            <v>Cone Shaped Conical Air Filter</v>
          </cell>
        </row>
        <row r="1365">
          <cell r="G1365" t="str">
            <v>AF5698</v>
          </cell>
          <cell r="H1365" t="str">
            <v>Flexible Panel Air Filter</v>
          </cell>
        </row>
        <row r="1366">
          <cell r="G1366" t="str">
            <v>LAF8769</v>
          </cell>
          <cell r="H1366" t="str">
            <v>Radial Seal Outer Air Filter</v>
          </cell>
        </row>
        <row r="1367">
          <cell r="G1367" t="str">
            <v>LFF4812D-30</v>
          </cell>
          <cell r="H1367" t="str">
            <v>Spin-on Fuel Water Separator Filter</v>
          </cell>
        </row>
        <row r="1368">
          <cell r="G1368" t="str">
            <v>PH1218R</v>
          </cell>
          <cell r="H1368" t="str">
            <v>High Performance Spin-on Oil Filter</v>
          </cell>
        </row>
        <row r="1369">
          <cell r="G1369" t="str">
            <v>CAF1872C</v>
          </cell>
          <cell r="H1369" t="str">
            <v>Cabin Air Filter (Carbon)</v>
          </cell>
        </row>
        <row r="1370">
          <cell r="G1370" t="str">
            <v>LFF8092</v>
          </cell>
          <cell r="H1370" t="str">
            <v>Spin-on Fuel Filter</v>
          </cell>
        </row>
        <row r="1371">
          <cell r="G1371" t="str">
            <v>LFP2261</v>
          </cell>
          <cell r="H1371" t="str">
            <v>Spin-on Oil Filter</v>
          </cell>
        </row>
        <row r="1372">
          <cell r="G1372" t="str">
            <v>CAF1847P</v>
          </cell>
          <cell r="H1372" t="str">
            <v>Cabin Air Filter</v>
          </cell>
        </row>
        <row r="1373">
          <cell r="G1373" t="str">
            <v>PH2905</v>
          </cell>
          <cell r="H1373" t="str">
            <v>Spin-on Oil Filter</v>
          </cell>
        </row>
        <row r="1374">
          <cell r="G1374" t="str">
            <v>LAF8044</v>
          </cell>
          <cell r="H1374" t="str">
            <v>Cone Shaped Conical Air Filter</v>
          </cell>
        </row>
        <row r="1375">
          <cell r="G1375" t="str">
            <v>AF3617</v>
          </cell>
          <cell r="H1375" t="str">
            <v>Flexible Panel Air Filter</v>
          </cell>
        </row>
        <row r="1376">
          <cell r="G1376" t="str">
            <v>LFF15DPS</v>
          </cell>
          <cell r="H1376" t="str">
            <v>Fuel Dispensing Filter</v>
          </cell>
        </row>
        <row r="1377">
          <cell r="G1377" t="str">
            <v>FW5HD</v>
          </cell>
          <cell r="H1377" t="str">
            <v>Heavy Duty Band Wrench requires 1/2" drive tool. Used on 4 21/32 to 5 5/32" diamter filters.</v>
          </cell>
        </row>
        <row r="1378">
          <cell r="G1378" t="str">
            <v>AF4029</v>
          </cell>
          <cell r="H1378" t="str">
            <v>Panel Air Irregular Shaped Filter</v>
          </cell>
        </row>
        <row r="1379">
          <cell r="G1379" t="str">
            <v>CAF1890P</v>
          </cell>
          <cell r="H1379" t="str">
            <v>Cabin Air Filter</v>
          </cell>
        </row>
        <row r="1380">
          <cell r="G1380" t="str">
            <v>AF6910</v>
          </cell>
          <cell r="H1380" t="str">
            <v>Flexible Panel Air Filter</v>
          </cell>
        </row>
        <row r="1381">
          <cell r="G1381" t="str">
            <v>AF328</v>
          </cell>
          <cell r="H1381" t="str">
            <v>HD Metal-End Air Filter</v>
          </cell>
        </row>
        <row r="1382">
          <cell r="G1382" t="str">
            <v>AF7819</v>
          </cell>
          <cell r="H1382" t="str">
            <v>Rigid Panel Air Filter</v>
          </cell>
        </row>
        <row r="1383">
          <cell r="G1383" t="str">
            <v>LAF5024</v>
          </cell>
          <cell r="H1383" t="str">
            <v>Oval Air Filter</v>
          </cell>
        </row>
        <row r="1384">
          <cell r="G1384" t="str">
            <v>LAF853</v>
          </cell>
          <cell r="H1384" t="str">
            <v>HD Metal-End Air Filter</v>
          </cell>
        </row>
        <row r="1385">
          <cell r="G1385" t="str">
            <v>LFH4943</v>
          </cell>
          <cell r="H1385" t="str">
            <v>Spin-on Hydraulic Filter</v>
          </cell>
        </row>
        <row r="1386">
          <cell r="G1386" t="str">
            <v>LAF2531</v>
          </cell>
          <cell r="H1386" t="str">
            <v>Disposible Housing Air Filter</v>
          </cell>
        </row>
        <row r="1387">
          <cell r="G1387" t="str">
            <v>LAF6030</v>
          </cell>
          <cell r="H1387" t="str">
            <v>Rigid Panel Air Filter</v>
          </cell>
        </row>
        <row r="1388">
          <cell r="G1388" t="str">
            <v>LFF5780</v>
          </cell>
          <cell r="H1388" t="str">
            <v>Spin-on Fuel Filter</v>
          </cell>
        </row>
        <row r="1389">
          <cell r="G1389" t="str">
            <v>LAF852</v>
          </cell>
          <cell r="H1389" t="str">
            <v>HD Metal-End Air Filter</v>
          </cell>
        </row>
        <row r="1390">
          <cell r="G1390" t="str">
            <v>LFP2252</v>
          </cell>
          <cell r="H1390" t="str">
            <v>Spin-on Oil Filter</v>
          </cell>
        </row>
        <row r="1391">
          <cell r="G1391" t="str">
            <v>LAF3711</v>
          </cell>
          <cell r="H1391" t="str">
            <v>HD Metal-End Air Filter</v>
          </cell>
        </row>
        <row r="1392">
          <cell r="G1392" t="str">
            <v>LFF8270</v>
          </cell>
          <cell r="H1392" t="str">
            <v>Spin-on Fuel Water Separator Filter</v>
          </cell>
        </row>
        <row r="1393">
          <cell r="G1393" t="str">
            <v>LAF8628</v>
          </cell>
          <cell r="H1393" t="str">
            <v>Panel Air Filter</v>
          </cell>
        </row>
        <row r="1394">
          <cell r="G1394" t="str">
            <v>LFH4989</v>
          </cell>
          <cell r="H1394" t="str">
            <v>Spin-on Hydraulic Filter</v>
          </cell>
        </row>
        <row r="1395">
          <cell r="G1395" t="str">
            <v>LFH4935</v>
          </cell>
          <cell r="H1395" t="str">
            <v>Spin-on Hydraulic Filter</v>
          </cell>
        </row>
        <row r="1396">
          <cell r="G1396" t="str">
            <v>LAF5866</v>
          </cell>
          <cell r="H1396" t="str">
            <v>Rigid Panel Air Filter</v>
          </cell>
        </row>
        <row r="1397">
          <cell r="G1397" t="str">
            <v>LAF519</v>
          </cell>
          <cell r="H1397" t="str">
            <v>Rigid Panel Air Filter</v>
          </cell>
        </row>
        <row r="1398">
          <cell r="G1398" t="str">
            <v>LFP5963</v>
          </cell>
          <cell r="H1398" t="str">
            <v>Spin-on Oil Filter</v>
          </cell>
        </row>
        <row r="1399">
          <cell r="G1399" t="str">
            <v>AF120</v>
          </cell>
          <cell r="H1399" t="str">
            <v>Round Air Filter</v>
          </cell>
        </row>
        <row r="1400">
          <cell r="G1400" t="str">
            <v>LK237M</v>
          </cell>
          <cell r="H1400" t="str">
            <v>Mack Engine Maintenance Kit</v>
          </cell>
        </row>
        <row r="1401">
          <cell r="G1401" t="str">
            <v>CAF1851P</v>
          </cell>
          <cell r="H1401" t="str">
            <v>Cabin Air Filter</v>
          </cell>
        </row>
        <row r="1402">
          <cell r="G1402" t="str">
            <v>AF5208</v>
          </cell>
          <cell r="H1402" t="str">
            <v>Rigid Panel Air Filter</v>
          </cell>
        </row>
        <row r="1403">
          <cell r="G1403" t="str">
            <v>G6896</v>
          </cell>
          <cell r="H1403" t="str">
            <v>In-Line Fuel Filter</v>
          </cell>
        </row>
        <row r="1404">
          <cell r="G1404" t="str">
            <v>CAF1823B</v>
          </cell>
          <cell r="H1404" t="str">
            <v>Cabin Air Filter</v>
          </cell>
        </row>
        <row r="1405">
          <cell r="G1405" t="str">
            <v>LFF1006</v>
          </cell>
          <cell r="H1405" t="str">
            <v>Box Type Fuel Filter</v>
          </cell>
        </row>
        <row r="1406">
          <cell r="G1406" t="str">
            <v>LFF3477</v>
          </cell>
          <cell r="H1406" t="str">
            <v>Spin-on Fuel Water Separator Filter</v>
          </cell>
        </row>
        <row r="1407">
          <cell r="G1407" t="str">
            <v>LMB448</v>
          </cell>
          <cell r="H1407" t="str">
            <v>Base for LFP1652,LFH4209, or LFH22027.</v>
          </cell>
        </row>
        <row r="1408">
          <cell r="G1408" t="str">
            <v>LFP8316G</v>
          </cell>
          <cell r="H1408" t="str">
            <v>Spin-on Transmission Filter</v>
          </cell>
        </row>
        <row r="1409">
          <cell r="G1409" t="str">
            <v>LAF230</v>
          </cell>
          <cell r="H1409" t="str">
            <v>HD Metal-End Air Filter</v>
          </cell>
        </row>
        <row r="1410">
          <cell r="G1410" t="str">
            <v>CAF1797</v>
          </cell>
          <cell r="H1410" t="str">
            <v>Cabin Air Filter</v>
          </cell>
        </row>
        <row r="1411">
          <cell r="G1411" t="str">
            <v>LAF4575</v>
          </cell>
          <cell r="H1411" t="str">
            <v>Cone Shaped Conical Air Filter</v>
          </cell>
        </row>
        <row r="1412">
          <cell r="G1412" t="str">
            <v>AF5215</v>
          </cell>
          <cell r="H1412" t="str">
            <v>Fiber Formed Panel Air Filter</v>
          </cell>
        </row>
        <row r="1413">
          <cell r="G1413" t="str">
            <v>AF359</v>
          </cell>
          <cell r="H1413" t="str">
            <v>Round Panel Air Filter</v>
          </cell>
        </row>
        <row r="1414">
          <cell r="G1414" t="str">
            <v>LP32</v>
          </cell>
          <cell r="H1414" t="str">
            <v>Cartridge Oil Filter</v>
          </cell>
        </row>
        <row r="1415">
          <cell r="G1415" t="str">
            <v>CAF1842C</v>
          </cell>
          <cell r="H1415" t="str">
            <v>Cabin Air Filter (Carbon)</v>
          </cell>
        </row>
        <row r="1416">
          <cell r="G1416" t="str">
            <v>LAF5827</v>
          </cell>
          <cell r="H1416" t="str">
            <v>Round Air Filter</v>
          </cell>
        </row>
        <row r="1417">
          <cell r="G1417" t="str">
            <v>LAF8393</v>
          </cell>
          <cell r="H1417" t="str">
            <v>Panel Air Filter Metal Framed</v>
          </cell>
        </row>
        <row r="1418">
          <cell r="G1418" t="str">
            <v>AF342</v>
          </cell>
          <cell r="H1418" t="str">
            <v>Round Air Filter</v>
          </cell>
        </row>
        <row r="1419">
          <cell r="G1419" t="str">
            <v>AF341</v>
          </cell>
          <cell r="H1419" t="str">
            <v>Round Air Filter</v>
          </cell>
        </row>
        <row r="1420">
          <cell r="G1420" t="str">
            <v>AF1744</v>
          </cell>
          <cell r="H1420" t="str">
            <v>Flexible Panel Air Filter</v>
          </cell>
        </row>
        <row r="1421">
          <cell r="G1421" t="str">
            <v>CAF1941P</v>
          </cell>
          <cell r="H1421" t="str">
            <v>Cabin Air Filter</v>
          </cell>
        </row>
        <row r="1422">
          <cell r="G1422" t="str">
            <v>CAF1707</v>
          </cell>
          <cell r="H1422" t="str">
            <v>Cabin Air Filter</v>
          </cell>
        </row>
        <row r="1423">
          <cell r="G1423" t="str">
            <v>LFP5120B</v>
          </cell>
          <cell r="H1423" t="str">
            <v>Spin-on Oil Filter</v>
          </cell>
        </row>
        <row r="1424">
          <cell r="G1424" t="str">
            <v>LAF1809</v>
          </cell>
          <cell r="H1424" t="str">
            <v>HD Metal-End Air Filter</v>
          </cell>
        </row>
        <row r="1425">
          <cell r="G1425" t="str">
            <v>G6384</v>
          </cell>
          <cell r="H1425" t="str">
            <v>In-Line Fuel Filter</v>
          </cell>
        </row>
        <row r="1426">
          <cell r="G1426" t="str">
            <v>LAF8750</v>
          </cell>
          <cell r="H1426" t="str">
            <v>Radial Seal Inner Air Filter</v>
          </cell>
        </row>
        <row r="1427">
          <cell r="G1427" t="str">
            <v>LFP2312</v>
          </cell>
          <cell r="H1427" t="str">
            <v>Spin-on Oil Filter</v>
          </cell>
        </row>
        <row r="1428">
          <cell r="G1428" t="str">
            <v>LAF8687</v>
          </cell>
          <cell r="H1428" t="str">
            <v>Radial Seal Outer Air Filter</v>
          </cell>
        </row>
        <row r="1429">
          <cell r="G1429" t="str">
            <v>LFH4967</v>
          </cell>
          <cell r="H1429" t="str">
            <v>Spin-on Hydraulic Filter</v>
          </cell>
        </row>
        <row r="1430">
          <cell r="G1430" t="str">
            <v>LAF262HD</v>
          </cell>
          <cell r="H1430" t="str">
            <v>HD Metal-End Air Filter</v>
          </cell>
        </row>
        <row r="1431">
          <cell r="G1431" t="str">
            <v>AF3216</v>
          </cell>
          <cell r="H1431" t="str">
            <v>Rigid Panel Air Filter</v>
          </cell>
        </row>
        <row r="1432">
          <cell r="G1432" t="str">
            <v>LAF1790</v>
          </cell>
          <cell r="H1432" t="str">
            <v>HD Metal-End Inner Air Filter</v>
          </cell>
        </row>
        <row r="1433">
          <cell r="G1433" t="str">
            <v>T652</v>
          </cell>
          <cell r="H1433" t="str">
            <v>Transmission Filter Kit</v>
          </cell>
        </row>
        <row r="1434">
          <cell r="G1434" t="str">
            <v>LP2017CAPT</v>
          </cell>
          <cell r="H1434" t="str">
            <v>Housing Cap for Ford Super Duty truck using LP2017 Filter</v>
          </cell>
        </row>
        <row r="1435">
          <cell r="G1435" t="str">
            <v>LFH5936</v>
          </cell>
          <cell r="H1435" t="str">
            <v>Spin-on Hydraulic Filter</v>
          </cell>
        </row>
        <row r="1436">
          <cell r="G1436" t="str">
            <v>T112</v>
          </cell>
          <cell r="H1436" t="str">
            <v>Transmission Filter Kit</v>
          </cell>
        </row>
        <row r="1437">
          <cell r="G1437" t="str">
            <v>LFH4386</v>
          </cell>
          <cell r="H1437" t="str">
            <v>Spin-on Hydraulic Filter</v>
          </cell>
        </row>
        <row r="1438">
          <cell r="G1438" t="str">
            <v>LH4230</v>
          </cell>
          <cell r="H1438" t="str">
            <v>Cartridge Hydraulic Filter</v>
          </cell>
        </row>
        <row r="1439">
          <cell r="G1439" t="str">
            <v>CAF24010</v>
          </cell>
          <cell r="H1439" t="str">
            <v>Cabin Air Filter</v>
          </cell>
        </row>
        <row r="1440">
          <cell r="G1440" t="str">
            <v>AF3992</v>
          </cell>
          <cell r="H1440" t="str">
            <v>Rigid Panel Air Filter</v>
          </cell>
        </row>
        <row r="1441">
          <cell r="G1441" t="str">
            <v>L61F</v>
          </cell>
          <cell r="H1441" t="str">
            <v>Cartridge Fuel Filter</v>
          </cell>
        </row>
        <row r="1442">
          <cell r="G1442" t="str">
            <v>LAF8955</v>
          </cell>
          <cell r="H1442" t="str">
            <v>Metal-End Air Filter with Closed Top End Cap</v>
          </cell>
        </row>
        <row r="1443">
          <cell r="G1443" t="str">
            <v>AF5229</v>
          </cell>
          <cell r="H1443" t="str">
            <v>Rigid Panel Air Filter</v>
          </cell>
        </row>
        <row r="1444">
          <cell r="G1444" t="str">
            <v>LAF8083</v>
          </cell>
          <cell r="H1444" t="str">
            <v>HD Round Air Filter with Attached Boot</v>
          </cell>
        </row>
        <row r="1445">
          <cell r="G1445" t="str">
            <v>LP214</v>
          </cell>
          <cell r="H1445" t="str">
            <v>Cartridge Hydraulic Filter</v>
          </cell>
        </row>
        <row r="1446">
          <cell r="G1446" t="str">
            <v>LAF5416</v>
          </cell>
          <cell r="H1446" t="str">
            <v>Special Configuration Air Filter</v>
          </cell>
        </row>
        <row r="1447">
          <cell r="G1447" t="str">
            <v>LFH3990-03</v>
          </cell>
          <cell r="H1447" t="str">
            <v>Spin-on Hydraulic Filter</v>
          </cell>
        </row>
        <row r="1448">
          <cell r="G1448" t="str">
            <v>LFP3354</v>
          </cell>
          <cell r="H1448" t="str">
            <v>Spin-on Oil Filter</v>
          </cell>
        </row>
        <row r="1449">
          <cell r="G1449" t="str">
            <v>G578</v>
          </cell>
          <cell r="H1449" t="str">
            <v>In-Line Fuel Filter</v>
          </cell>
        </row>
        <row r="1450">
          <cell r="G1450" t="str">
            <v>AF5212</v>
          </cell>
          <cell r="H1450" t="str">
            <v>Panel Air Filter</v>
          </cell>
        </row>
        <row r="1451">
          <cell r="G1451" t="str">
            <v>PH933</v>
          </cell>
          <cell r="H1451" t="str">
            <v>Spin-on Hydraulic Filter</v>
          </cell>
        </row>
        <row r="1452">
          <cell r="G1452" t="str">
            <v>LAF64</v>
          </cell>
          <cell r="H1452" t="str">
            <v>Tube Type Air Filter</v>
          </cell>
        </row>
        <row r="1453">
          <cell r="G1453" t="str">
            <v>LFP5522</v>
          </cell>
          <cell r="H1453" t="str">
            <v>Spin-on Oil Filter</v>
          </cell>
        </row>
        <row r="1454">
          <cell r="G1454" t="str">
            <v>LAF9542</v>
          </cell>
          <cell r="H1454" t="str">
            <v>Radial Seal Outer Air Filter</v>
          </cell>
        </row>
        <row r="1455">
          <cell r="G1455" t="str">
            <v>L3546FC</v>
          </cell>
          <cell r="H1455" t="str">
            <v>Spin-on Fuel Water Separator Filter</v>
          </cell>
        </row>
        <row r="1456">
          <cell r="G1456" t="str">
            <v>AF4049</v>
          </cell>
          <cell r="H1456" t="str">
            <v>Rigid Panel Air Filter</v>
          </cell>
        </row>
        <row r="1457">
          <cell r="G1457" t="str">
            <v>AF306</v>
          </cell>
          <cell r="H1457" t="str">
            <v>Round Air Filter</v>
          </cell>
        </row>
        <row r="1458">
          <cell r="G1458" t="str">
            <v>LFP9000XL</v>
          </cell>
          <cell r="H1458" t="str">
            <v>Spin-on Oil Filter (Extended Life)</v>
          </cell>
        </row>
        <row r="1459">
          <cell r="G1459" t="str">
            <v>L9721F</v>
          </cell>
          <cell r="H1459" t="str">
            <v>Cartridge Fuel Water Separator Filter</v>
          </cell>
        </row>
        <row r="1460">
          <cell r="G1460" t="str">
            <v>LAF22084</v>
          </cell>
          <cell r="H1460" t="str">
            <v>Finned Vane Air Filter</v>
          </cell>
        </row>
        <row r="1461">
          <cell r="G1461" t="str">
            <v>P150</v>
          </cell>
          <cell r="H1461" t="str">
            <v>Cartridge Oil Filter</v>
          </cell>
        </row>
        <row r="1462">
          <cell r="G1462" t="str">
            <v>LAF5327</v>
          </cell>
          <cell r="H1462" t="str">
            <v>Cabin Air Filter, Panel</v>
          </cell>
        </row>
        <row r="1463">
          <cell r="G1463" t="str">
            <v>LK292CA</v>
          </cell>
          <cell r="H1463" t="str">
            <v>Caterpillar Engine Maintenance Kit</v>
          </cell>
        </row>
        <row r="1464">
          <cell r="G1464" t="str">
            <v>LFP6930</v>
          </cell>
          <cell r="H1464" t="str">
            <v>Spin-on Oil Filter</v>
          </cell>
        </row>
        <row r="1465">
          <cell r="G1465" t="str">
            <v>AF2893</v>
          </cell>
          <cell r="H1465" t="str">
            <v>Radial Seal Air Filter</v>
          </cell>
        </row>
        <row r="1466">
          <cell r="G1466" t="str">
            <v>LAF8408</v>
          </cell>
          <cell r="H1466" t="str">
            <v>HD Metal-End Inner Air Filter</v>
          </cell>
        </row>
        <row r="1467">
          <cell r="G1467" t="str">
            <v>AF31</v>
          </cell>
          <cell r="H1467" t="str">
            <v>Round Air Filter</v>
          </cell>
        </row>
        <row r="1468">
          <cell r="G1468" t="str">
            <v>LAF3664</v>
          </cell>
          <cell r="H1468" t="str">
            <v>Radial Seal Inner Air Filter</v>
          </cell>
        </row>
        <row r="1469">
          <cell r="G1469" t="str">
            <v>LAF5973</v>
          </cell>
          <cell r="H1469" t="str">
            <v>Radial Seal Air Filter, Primary</v>
          </cell>
        </row>
        <row r="1470">
          <cell r="G1470" t="str">
            <v>LAF323</v>
          </cell>
          <cell r="H1470" t="str">
            <v>HD Metal-End Air Filter-Inner</v>
          </cell>
        </row>
        <row r="1471">
          <cell r="G1471" t="str">
            <v>LAF2513</v>
          </cell>
          <cell r="H1471" t="str">
            <v>Round Plastisol Air Filter</v>
          </cell>
        </row>
        <row r="1472">
          <cell r="G1472" t="str">
            <v>LFP7314</v>
          </cell>
          <cell r="H1472" t="str">
            <v>Spin-on By-Pass Oil Filter</v>
          </cell>
        </row>
        <row r="1473">
          <cell r="G1473" t="str">
            <v>CAF1800C</v>
          </cell>
          <cell r="H1473" t="str">
            <v>Cabin Air Filter (Carbon)</v>
          </cell>
        </row>
        <row r="1474">
          <cell r="G1474" t="str">
            <v>AF4044</v>
          </cell>
          <cell r="H1474" t="str">
            <v>Rigid Panel Air Filter</v>
          </cell>
        </row>
        <row r="1475">
          <cell r="G1475" t="str">
            <v>AF3994</v>
          </cell>
          <cell r="H1475" t="str">
            <v>Rigid Panel Air Filter</v>
          </cell>
        </row>
        <row r="1476">
          <cell r="G1476" t="str">
            <v>PC778</v>
          </cell>
          <cell r="H1476" t="str">
            <v>PCV Valve</v>
          </cell>
        </row>
        <row r="1477">
          <cell r="G1477" t="str">
            <v>LAF1827</v>
          </cell>
          <cell r="H1477" t="str">
            <v>Round Air Filter</v>
          </cell>
        </row>
        <row r="1478">
          <cell r="G1478" t="str">
            <v>LAF8674</v>
          </cell>
          <cell r="H1478" t="str">
            <v>Round Inner Air Filter</v>
          </cell>
        </row>
        <row r="1479">
          <cell r="G1479" t="str">
            <v>LFF7687</v>
          </cell>
          <cell r="H1479" t="str">
            <v>Spin-on Fuel Filter</v>
          </cell>
        </row>
        <row r="1480">
          <cell r="G1480" t="str">
            <v>LH8742</v>
          </cell>
          <cell r="H1480" t="str">
            <v>Cartridge Hydraulic Filter</v>
          </cell>
        </row>
        <row r="1481">
          <cell r="G1481" t="str">
            <v>CAF7766</v>
          </cell>
          <cell r="H1481" t="str">
            <v>Cabin Air Filter (Carbon)</v>
          </cell>
        </row>
        <row r="1482">
          <cell r="G1482" t="str">
            <v>LFH8499</v>
          </cell>
          <cell r="H1482" t="str">
            <v>Spin-on Hydraulic Filter</v>
          </cell>
        </row>
        <row r="1483">
          <cell r="G1483" t="str">
            <v>LAF8648</v>
          </cell>
          <cell r="H1483" t="str">
            <v>HD Metal-End Air Filter</v>
          </cell>
        </row>
        <row r="1484">
          <cell r="G1484" t="str">
            <v>LAF2926</v>
          </cell>
          <cell r="H1484" t="str">
            <v>HD Metal-End Air Filter</v>
          </cell>
        </row>
        <row r="1485">
          <cell r="G1485" t="str">
            <v>LH4262</v>
          </cell>
          <cell r="H1485" t="str">
            <v>Cartridge Transmission (Hydraulic) Filter</v>
          </cell>
        </row>
        <row r="1486">
          <cell r="G1486" t="str">
            <v>LH4266</v>
          </cell>
          <cell r="H1486" t="str">
            <v>Cartridge Hydraulic Filter</v>
          </cell>
        </row>
        <row r="1487">
          <cell r="G1487" t="str">
            <v>LAF22010</v>
          </cell>
          <cell r="H1487" t="str">
            <v>Disposible Housing Air Filter</v>
          </cell>
        </row>
        <row r="1488">
          <cell r="G1488" t="str">
            <v>LAF9300</v>
          </cell>
          <cell r="H1488" t="str">
            <v>Special Configuration Air Filter</v>
          </cell>
        </row>
        <row r="1489">
          <cell r="G1489" t="str">
            <v>970C</v>
          </cell>
          <cell r="H1489" t="str">
            <v>970 housing only (Gray)</v>
          </cell>
        </row>
        <row r="1490">
          <cell r="G1490" t="str">
            <v>AF1624</v>
          </cell>
          <cell r="H1490" t="str">
            <v>Radial Seal Air Filter</v>
          </cell>
        </row>
        <row r="1491">
          <cell r="G1491" t="str">
            <v>LFF9519</v>
          </cell>
          <cell r="H1491" t="str">
            <v>Spin-on Fuel Water Separator Filter</v>
          </cell>
        </row>
        <row r="1492">
          <cell r="G1492" t="str">
            <v>AF522</v>
          </cell>
          <cell r="H1492" t="str">
            <v>Round Panel Air Filter</v>
          </cell>
        </row>
        <row r="1493">
          <cell r="G1493" t="str">
            <v>LAF3346</v>
          </cell>
          <cell r="H1493" t="str">
            <v>Disposible Housing Air Filter</v>
          </cell>
        </row>
        <row r="1494">
          <cell r="G1494" t="str">
            <v>LFW2125</v>
          </cell>
          <cell r="H1494" t="str">
            <v>Controll Release Spin-on Coolant Filter</v>
          </cell>
        </row>
        <row r="1495">
          <cell r="G1495" t="str">
            <v>AF543</v>
          </cell>
          <cell r="H1495" t="str">
            <v>Round Air Filter</v>
          </cell>
        </row>
        <row r="1496">
          <cell r="G1496" t="str">
            <v>AF974</v>
          </cell>
          <cell r="H1496" t="str">
            <v>Flexible Panel Air Filter</v>
          </cell>
        </row>
        <row r="1497">
          <cell r="G1497" t="str">
            <v>LAF1726</v>
          </cell>
          <cell r="H1497" t="str">
            <v>HD Metal-End Air Filter</v>
          </cell>
        </row>
        <row r="1498">
          <cell r="G1498" t="str">
            <v>LAF4507</v>
          </cell>
          <cell r="H1498" t="str">
            <v>Radial Seal Outer Air Filter</v>
          </cell>
        </row>
        <row r="1499">
          <cell r="G1499" t="str">
            <v>LAF8550</v>
          </cell>
          <cell r="H1499" t="str">
            <v>HD Metal-End Air Filter</v>
          </cell>
        </row>
        <row r="1500">
          <cell r="G1500" t="str">
            <v>LFP9279</v>
          </cell>
          <cell r="H1500" t="str">
            <v>Spin-on Oil Filter</v>
          </cell>
        </row>
        <row r="1501">
          <cell r="G1501" t="str">
            <v>LH5719</v>
          </cell>
          <cell r="H1501" t="str">
            <v>Cartridge Hydraulic Filter</v>
          </cell>
        </row>
        <row r="1502">
          <cell r="G1502" t="str">
            <v>LAF6029</v>
          </cell>
          <cell r="H1502" t="str">
            <v>Radial Seal Outer Air Filter</v>
          </cell>
        </row>
        <row r="1503">
          <cell r="G1503" t="str">
            <v>LFH8229</v>
          </cell>
          <cell r="H1503" t="str">
            <v>Spin-on Hydraulic Filter</v>
          </cell>
        </row>
        <row r="1504">
          <cell r="G1504" t="str">
            <v>LFF9012</v>
          </cell>
          <cell r="H1504" t="str">
            <v>Bowl Style Fuel Water Separator Filter</v>
          </cell>
        </row>
        <row r="1505">
          <cell r="G1505" t="str">
            <v>P137</v>
          </cell>
          <cell r="H1505" t="str">
            <v>Cartridge Oil Filter</v>
          </cell>
        </row>
        <row r="1506">
          <cell r="G1506" t="str">
            <v>G478</v>
          </cell>
          <cell r="H1506" t="str">
            <v>In-Line Fuel Filter</v>
          </cell>
        </row>
        <row r="1507">
          <cell r="G1507" t="str">
            <v>LAF6510</v>
          </cell>
          <cell r="H1507" t="str">
            <v>HD Metal-End Air Filter</v>
          </cell>
        </row>
        <row r="1508">
          <cell r="G1508" t="str">
            <v>AF9010</v>
          </cell>
          <cell r="H1508" t="str">
            <v>Rigid Panel Air Filter</v>
          </cell>
        </row>
        <row r="1509">
          <cell r="G1509" t="str">
            <v>AF4</v>
          </cell>
          <cell r="H1509" t="str">
            <v>Round Air Filter</v>
          </cell>
        </row>
        <row r="1510">
          <cell r="G1510" t="str">
            <v>LFH4950</v>
          </cell>
          <cell r="H1510" t="str">
            <v>Spin-on Hydraulic Filter</v>
          </cell>
        </row>
        <row r="1511">
          <cell r="G1511" t="str">
            <v>AF149</v>
          </cell>
          <cell r="H1511" t="str">
            <v>Round Air Filter</v>
          </cell>
        </row>
        <row r="1512">
          <cell r="G1512">
            <v>3967</v>
          </cell>
          <cell r="H1512" t="str">
            <v>Gasket, Cummins Applied</v>
          </cell>
        </row>
        <row r="1513">
          <cell r="G1513" t="str">
            <v>CAF1765</v>
          </cell>
          <cell r="H1513" t="str">
            <v>Cabin Air Filter</v>
          </cell>
        </row>
        <row r="1514">
          <cell r="G1514" t="str">
            <v>AF3896</v>
          </cell>
          <cell r="H1514" t="str">
            <v>Flexible Panel Air Filter</v>
          </cell>
        </row>
        <row r="1515">
          <cell r="G1515" t="str">
            <v>LAF3952</v>
          </cell>
          <cell r="H1515" t="str">
            <v>Radial Seal Inner Air Filter</v>
          </cell>
        </row>
        <row r="1516">
          <cell r="G1516" t="str">
            <v>L624FP</v>
          </cell>
          <cell r="H1516" t="str">
            <v>Cartridge Fuel Filter</v>
          </cell>
        </row>
        <row r="1517">
          <cell r="G1517" t="str">
            <v>LFP943F</v>
          </cell>
          <cell r="H1517" t="str">
            <v>Spin-on Fuel Filter</v>
          </cell>
        </row>
        <row r="1518">
          <cell r="G1518" t="str">
            <v>AF753</v>
          </cell>
          <cell r="H1518" t="str">
            <v>Round Air Filter</v>
          </cell>
        </row>
        <row r="1519">
          <cell r="G1519">
            <v>750</v>
          </cell>
          <cell r="H1519" t="str">
            <v xml:space="preserve">Refining Filter Pack /750-C, 2C &amp; 3C, Hydraulic &amp; Mineral Oil </v>
          </cell>
        </row>
        <row r="1520">
          <cell r="G1520" t="str">
            <v>G1057</v>
          </cell>
          <cell r="H1520" t="str">
            <v>In-Line Fuel Filter</v>
          </cell>
        </row>
        <row r="1521">
          <cell r="G1521" t="str">
            <v>LFP2262</v>
          </cell>
          <cell r="H1521" t="str">
            <v>Spin-on By-Pass Oil Filter</v>
          </cell>
        </row>
        <row r="1522">
          <cell r="G1522" t="str">
            <v>AF3588</v>
          </cell>
          <cell r="H1522" t="str">
            <v>Flexible Panel Air Filter</v>
          </cell>
        </row>
        <row r="1523">
          <cell r="G1523" t="str">
            <v>CAF1878P</v>
          </cell>
          <cell r="H1523" t="str">
            <v>Cabin Air Filter</v>
          </cell>
        </row>
        <row r="1524">
          <cell r="G1524" t="str">
            <v>AF1695</v>
          </cell>
          <cell r="H1524" t="str">
            <v>Flexible Panel Air Filter</v>
          </cell>
        </row>
        <row r="1525">
          <cell r="G1525" t="str">
            <v>AF7964</v>
          </cell>
          <cell r="H1525" t="str">
            <v>Rigid Panel Air Filter</v>
          </cell>
        </row>
        <row r="1526">
          <cell r="G1526" t="str">
            <v>P820</v>
          </cell>
          <cell r="H1526" t="str">
            <v>Cartridge Oil Filter</v>
          </cell>
        </row>
        <row r="1527">
          <cell r="G1527" t="str">
            <v>L541F</v>
          </cell>
          <cell r="H1527" t="str">
            <v>Cartridge Fuel Filter</v>
          </cell>
        </row>
        <row r="1528">
          <cell r="G1528" t="str">
            <v>LFH8880G</v>
          </cell>
          <cell r="H1528" t="str">
            <v>Spin-on Hydraulic Filter</v>
          </cell>
        </row>
        <row r="1529">
          <cell r="G1529" t="str">
            <v>LAF5844</v>
          </cell>
          <cell r="H1529" t="str">
            <v>Radial Seal Inner Air Filter</v>
          </cell>
        </row>
        <row r="1530">
          <cell r="G1530" t="str">
            <v>LAF6115</v>
          </cell>
          <cell r="H1530" t="str">
            <v>Radial Seal Inner Air Filter</v>
          </cell>
        </row>
        <row r="1531">
          <cell r="G1531" t="str">
            <v>FW8HD</v>
          </cell>
          <cell r="H1531" t="str">
            <v>Nylon Strap Wrench for up to 6 inch Diameter Filters. Requires 1/2 drive tool.</v>
          </cell>
        </row>
        <row r="1532">
          <cell r="G1532" t="str">
            <v>LAF5813</v>
          </cell>
          <cell r="H1532" t="str">
            <v>Round Air Filter</v>
          </cell>
        </row>
        <row r="1533">
          <cell r="G1533" t="str">
            <v>LH9264V</v>
          </cell>
          <cell r="H1533" t="str">
            <v>Industrial Cartridge Hydraulic Filter</v>
          </cell>
        </row>
        <row r="1534">
          <cell r="G1534" t="str">
            <v>FW7HD</v>
          </cell>
          <cell r="H1534" t="str">
            <v>Heavy Duty Band Wrench requires 1/2" drive tool. Used on 5 5/32" to 5 21/32" diameter filters.</v>
          </cell>
        </row>
        <row r="1535">
          <cell r="G1535" t="str">
            <v>LP213</v>
          </cell>
          <cell r="H1535" t="str">
            <v>Cartridge Hydraulic Filter</v>
          </cell>
        </row>
        <row r="1536">
          <cell r="G1536" t="str">
            <v>CAF1792</v>
          </cell>
          <cell r="H1536" t="str">
            <v>Cabin Air Filter</v>
          </cell>
        </row>
        <row r="1537">
          <cell r="G1537" t="str">
            <v>AF3959</v>
          </cell>
          <cell r="H1537" t="str">
            <v>Panel Air Irregular Shaped Filter</v>
          </cell>
        </row>
        <row r="1538">
          <cell r="G1538" t="str">
            <v>CAF1813P</v>
          </cell>
          <cell r="H1538" t="str">
            <v>Cabin Air Filter</v>
          </cell>
        </row>
        <row r="1539">
          <cell r="G1539" t="str">
            <v>AF4065</v>
          </cell>
          <cell r="H1539" t="str">
            <v>Flexible Panel Air Filter</v>
          </cell>
        </row>
        <row r="1540">
          <cell r="G1540" t="str">
            <v>P983</v>
          </cell>
          <cell r="H1540" t="str">
            <v>Cartridge Oil Filter</v>
          </cell>
        </row>
        <row r="1541">
          <cell r="G1541" t="str">
            <v>LFP5919</v>
          </cell>
          <cell r="H1541" t="str">
            <v>Spin-on Oil Filter</v>
          </cell>
        </row>
        <row r="1542">
          <cell r="G1542" t="str">
            <v>LAF5733</v>
          </cell>
          <cell r="H1542" t="str">
            <v>Radial Seal Outer Air Filter</v>
          </cell>
        </row>
        <row r="1543">
          <cell r="G1543" t="str">
            <v>LFH8459</v>
          </cell>
          <cell r="H1543" t="str">
            <v>Spin-on Hydraulic Filter</v>
          </cell>
        </row>
        <row r="1544">
          <cell r="G1544" t="str">
            <v>LFF6965</v>
          </cell>
          <cell r="H1544" t="str">
            <v>Spin-on Fuel Filter</v>
          </cell>
        </row>
        <row r="1545">
          <cell r="G1545" t="str">
            <v>LH4394</v>
          </cell>
          <cell r="H1545" t="str">
            <v>Cartridge Hydraulic Filter</v>
          </cell>
        </row>
        <row r="1546">
          <cell r="G1546" t="str">
            <v>CAF1945C</v>
          </cell>
          <cell r="H1546" t="str">
            <v>Cabin Air Filter</v>
          </cell>
        </row>
        <row r="1547">
          <cell r="G1547" t="str">
            <v>LAF936</v>
          </cell>
          <cell r="H1547" t="str">
            <v>HD Round Air Filter with Attached Boot</v>
          </cell>
        </row>
        <row r="1548">
          <cell r="G1548" t="str">
            <v>LH4174</v>
          </cell>
          <cell r="H1548" t="str">
            <v>Cartridge Hydraulic Filter</v>
          </cell>
        </row>
        <row r="1549">
          <cell r="G1549" t="str">
            <v>LH9167</v>
          </cell>
          <cell r="H1549" t="str">
            <v>Cartridge hydraulic filter</v>
          </cell>
        </row>
        <row r="1550">
          <cell r="G1550" t="str">
            <v>CAF12000XL</v>
          </cell>
          <cell r="H1550" t="str">
            <v>Cabin Air Filter (Carbon) Extreme Clean</v>
          </cell>
        </row>
        <row r="1551">
          <cell r="G1551" t="str">
            <v>FF2D-30</v>
          </cell>
          <cell r="H1551" t="str">
            <v>30 Micron Fuel Dispensing Filter</v>
          </cell>
        </row>
        <row r="1552">
          <cell r="G1552" t="str">
            <v>LFH5079G</v>
          </cell>
          <cell r="H1552" t="str">
            <v>Spin-on Hydraulic Filter</v>
          </cell>
        </row>
        <row r="1553">
          <cell r="G1553" t="str">
            <v>AF4064</v>
          </cell>
          <cell r="H1553" t="str">
            <v>Rigid Panel Air Filter</v>
          </cell>
        </row>
        <row r="1554">
          <cell r="G1554" t="str">
            <v>L3546F</v>
          </cell>
          <cell r="H1554" t="str">
            <v>Spin-on Fuel Water Separator Filter</v>
          </cell>
        </row>
        <row r="1555">
          <cell r="G1555" t="str">
            <v>LAF5771</v>
          </cell>
          <cell r="H1555" t="str">
            <v>Radial Seal Air Filter Outer</v>
          </cell>
        </row>
        <row r="1556">
          <cell r="G1556" t="str">
            <v>LAF2069</v>
          </cell>
          <cell r="H1556" t="str">
            <v>Metal-End Air Filter with Closed Top End Cap</v>
          </cell>
        </row>
        <row r="1557">
          <cell r="G1557" t="str">
            <v>P1018</v>
          </cell>
          <cell r="H1557" t="str">
            <v>Cartridge Oil Filter</v>
          </cell>
        </row>
        <row r="1558">
          <cell r="G1558" t="str">
            <v>AF7820</v>
          </cell>
          <cell r="H1558" t="str">
            <v>HD Metal-End Air Filter</v>
          </cell>
        </row>
        <row r="1559">
          <cell r="G1559" t="str">
            <v>LAF8657</v>
          </cell>
          <cell r="H1559" t="str">
            <v>HD Metal-End Air Filter</v>
          </cell>
        </row>
        <row r="1560">
          <cell r="G1560" t="str">
            <v>LAF5770</v>
          </cell>
          <cell r="H1560" t="str">
            <v>Radial Seal Outer Air Filter</v>
          </cell>
        </row>
        <row r="1561">
          <cell r="G1561" t="str">
            <v>LAF3710</v>
          </cell>
          <cell r="H1561" t="str">
            <v>HD Metal-End Air Filter-Inner</v>
          </cell>
        </row>
        <row r="1562">
          <cell r="G1562" t="str">
            <v>LAF1913</v>
          </cell>
          <cell r="H1562" t="str">
            <v>Round Air Filter</v>
          </cell>
        </row>
        <row r="1563">
          <cell r="G1563" t="str">
            <v>LAF1889</v>
          </cell>
          <cell r="H1563" t="str">
            <v>HD Metal-End Air Filter</v>
          </cell>
        </row>
        <row r="1564">
          <cell r="G1564" t="str">
            <v>PH48R</v>
          </cell>
          <cell r="H1564" t="str">
            <v>High Performance Spin-on Oil Filter</v>
          </cell>
        </row>
        <row r="1565">
          <cell r="G1565" t="str">
            <v>LAF2</v>
          </cell>
          <cell r="H1565" t="str">
            <v>Round Air Filter</v>
          </cell>
        </row>
        <row r="1566">
          <cell r="G1566" t="str">
            <v>AF7823</v>
          </cell>
          <cell r="H1566" t="str">
            <v>Flexible Panel Air Filter</v>
          </cell>
        </row>
        <row r="1567">
          <cell r="G1567" t="str">
            <v>AF2785</v>
          </cell>
          <cell r="H1567" t="str">
            <v>Flexible Panel Air Filter</v>
          </cell>
        </row>
        <row r="1568">
          <cell r="G1568" t="str">
            <v>AF2014</v>
          </cell>
          <cell r="H1568" t="str">
            <v>Radial Seal Air Filter</v>
          </cell>
        </row>
        <row r="1569">
          <cell r="G1569" t="str">
            <v>CAF1805C</v>
          </cell>
          <cell r="H1569" t="str">
            <v>Cabin Air Filter (Carbon)</v>
          </cell>
        </row>
        <row r="1570">
          <cell r="G1570" t="str">
            <v>LAF6453MXM</v>
          </cell>
          <cell r="H1570" t="str">
            <v>Nano Tech Air Filter w/Attached boot</v>
          </cell>
        </row>
        <row r="1571">
          <cell r="G1571" t="str">
            <v>LAF1532</v>
          </cell>
          <cell r="H1571" t="str">
            <v>HD Metal-End Inner Air Filter</v>
          </cell>
        </row>
        <row r="1572">
          <cell r="G1572" t="str">
            <v>L22008F</v>
          </cell>
          <cell r="H1572" t="str">
            <v>Fuel/Water Coalescer Cartridge Filter</v>
          </cell>
        </row>
        <row r="1573">
          <cell r="G1573" t="str">
            <v>L5693F</v>
          </cell>
          <cell r="H1573" t="str">
            <v>Cartridge Fuel Filter</v>
          </cell>
        </row>
        <row r="1574">
          <cell r="G1574" t="str">
            <v>T648</v>
          </cell>
          <cell r="H1574" t="str">
            <v>Transmission Filter Kit</v>
          </cell>
        </row>
        <row r="1575">
          <cell r="G1575" t="str">
            <v>LAF8671</v>
          </cell>
          <cell r="H1575" t="str">
            <v>Disposible Housing Air Filter</v>
          </cell>
        </row>
        <row r="1576">
          <cell r="G1576" t="str">
            <v>LAF586</v>
          </cell>
          <cell r="H1576" t="str">
            <v>Round Air Filter</v>
          </cell>
        </row>
        <row r="1577">
          <cell r="G1577" t="str">
            <v>LFF906</v>
          </cell>
          <cell r="H1577" t="str">
            <v>Bowl Style Fuel Water Separator Filter</v>
          </cell>
        </row>
        <row r="1578">
          <cell r="G1578" t="str">
            <v>G2987</v>
          </cell>
          <cell r="H1578" t="str">
            <v>In-Line Fuel Filter</v>
          </cell>
        </row>
        <row r="1579">
          <cell r="G1579" t="str">
            <v>LFF3509</v>
          </cell>
          <cell r="H1579" t="str">
            <v>Cartridge Fuel Filter</v>
          </cell>
        </row>
        <row r="1580">
          <cell r="G1580" t="str">
            <v>AF7906</v>
          </cell>
          <cell r="H1580" t="str">
            <v>Flexible Panel Air Filter</v>
          </cell>
        </row>
        <row r="1581">
          <cell r="G1581" t="str">
            <v>LAF48</v>
          </cell>
          <cell r="H1581" t="str">
            <v>Round Inner Air Filter with Flanged Endcap</v>
          </cell>
        </row>
        <row r="1582">
          <cell r="G1582" t="str">
            <v>CAF1899P</v>
          </cell>
          <cell r="H1582" t="str">
            <v>Cabin Air Filter</v>
          </cell>
        </row>
        <row r="1583">
          <cell r="G1583" t="str">
            <v>AF3897</v>
          </cell>
          <cell r="H1583" t="str">
            <v>Panel Air Irregular Shaped Filter</v>
          </cell>
        </row>
        <row r="1584">
          <cell r="G1584" t="str">
            <v>CAF1849C</v>
          </cell>
          <cell r="H1584" t="str">
            <v>Cabin Air Filter (Carbon)</v>
          </cell>
        </row>
        <row r="1585">
          <cell r="G1585" t="str">
            <v>LFH8593</v>
          </cell>
          <cell r="H1585" t="str">
            <v>Spin-on Hydraulic Filter</v>
          </cell>
        </row>
        <row r="1586">
          <cell r="G1586" t="str">
            <v>LFF8677</v>
          </cell>
          <cell r="H1586" t="str">
            <v>Spin-on Fuel Filter</v>
          </cell>
        </row>
        <row r="1587">
          <cell r="G1587" t="str">
            <v>LAF2514</v>
          </cell>
          <cell r="H1587" t="str">
            <v>HD Metal-End Air Filter</v>
          </cell>
        </row>
        <row r="1588">
          <cell r="G1588" t="str">
            <v>AF8826</v>
          </cell>
          <cell r="H1588" t="str">
            <v>Disposible Housing Filter</v>
          </cell>
        </row>
        <row r="1589">
          <cell r="G1589" t="str">
            <v>LH22033</v>
          </cell>
          <cell r="H1589" t="str">
            <v>Cartridge Hydraulic Filter</v>
          </cell>
        </row>
        <row r="1590">
          <cell r="G1590" t="str">
            <v>LAF2550</v>
          </cell>
          <cell r="H1590" t="str">
            <v>HD Metal-End Air Filter</v>
          </cell>
        </row>
        <row r="1591">
          <cell r="G1591" t="str">
            <v>CAF1844P</v>
          </cell>
          <cell r="H1591" t="str">
            <v>Cabin Air Filter</v>
          </cell>
        </row>
        <row r="1592">
          <cell r="G1592" t="str">
            <v>LAF2052</v>
          </cell>
          <cell r="H1592" t="str">
            <v>HD Metal-End Air Filter</v>
          </cell>
        </row>
        <row r="1593">
          <cell r="G1593" t="str">
            <v>LAF6632</v>
          </cell>
          <cell r="H1593" t="str">
            <v>HD Metal-End Air Filter</v>
          </cell>
        </row>
        <row r="1594">
          <cell r="G1594" t="str">
            <v>AF3184</v>
          </cell>
          <cell r="H1594" t="str">
            <v>Flexible Panel Air Filter</v>
          </cell>
        </row>
        <row r="1595">
          <cell r="G1595" t="str">
            <v>LFF3554</v>
          </cell>
          <cell r="H1595" t="str">
            <v>Spin-on Fuel Filter</v>
          </cell>
        </row>
        <row r="1596">
          <cell r="G1596" t="str">
            <v>AF3601</v>
          </cell>
          <cell r="H1596" t="str">
            <v>Flexible Panel Air Filter</v>
          </cell>
        </row>
        <row r="1597">
          <cell r="G1597" t="str">
            <v>LAF6122</v>
          </cell>
          <cell r="H1597" t="str">
            <v>Corrugated Media Air Filter</v>
          </cell>
        </row>
        <row r="1598">
          <cell r="G1598" t="str">
            <v>LAF1804</v>
          </cell>
          <cell r="H1598" t="str">
            <v>HD Metal-End Air Filter with Attached Lid</v>
          </cell>
        </row>
        <row r="1599">
          <cell r="G1599" t="str">
            <v>LAF8549</v>
          </cell>
          <cell r="H1599" t="str">
            <v>HD Metal-End Inner Air Filter</v>
          </cell>
        </row>
        <row r="1600">
          <cell r="G1600" t="str">
            <v>G6847</v>
          </cell>
          <cell r="H1600" t="str">
            <v>In-Line Fuel Filter</v>
          </cell>
        </row>
        <row r="1601">
          <cell r="G1601" t="str">
            <v>LAF2549</v>
          </cell>
          <cell r="H1601" t="str">
            <v>Round Air Filter</v>
          </cell>
        </row>
        <row r="1602">
          <cell r="G1602" t="str">
            <v>LFP8416</v>
          </cell>
          <cell r="H1602" t="str">
            <v>Spin-on Oil Filter</v>
          </cell>
        </row>
        <row r="1603">
          <cell r="G1603" t="str">
            <v>LH5018</v>
          </cell>
          <cell r="H1603" t="str">
            <v>Cartridge Hydraulic Filter</v>
          </cell>
        </row>
        <row r="1604">
          <cell r="G1604" t="str">
            <v>LAF9092</v>
          </cell>
          <cell r="H1604" t="str">
            <v>Panel Air Filter Metal Framed</v>
          </cell>
        </row>
        <row r="1605">
          <cell r="G1605" t="str">
            <v>LH4905</v>
          </cell>
          <cell r="H1605" t="str">
            <v>Cartridge Hydraulic Filter</v>
          </cell>
        </row>
        <row r="1606">
          <cell r="G1606" t="str">
            <v>T660</v>
          </cell>
          <cell r="H1606" t="str">
            <v>Transmission Filter Kit</v>
          </cell>
        </row>
        <row r="1607">
          <cell r="G1607" t="str">
            <v>LFP7075</v>
          </cell>
          <cell r="H1607" t="str">
            <v>Spin-on Oil Filter</v>
          </cell>
        </row>
        <row r="1608">
          <cell r="G1608" t="str">
            <v>L8105F</v>
          </cell>
          <cell r="H1608" t="str">
            <v>Cartridge Fuel Filter</v>
          </cell>
        </row>
        <row r="1609">
          <cell r="G1609" t="str">
            <v>PH226</v>
          </cell>
          <cell r="H1609" t="str">
            <v>Spin-on Oil Filter</v>
          </cell>
        </row>
        <row r="1610">
          <cell r="G1610" t="str">
            <v>LFH4929</v>
          </cell>
          <cell r="H1610" t="str">
            <v>Spin-on Hydraulic Filter</v>
          </cell>
        </row>
        <row r="1611">
          <cell r="G1611" t="str">
            <v>LFF5784</v>
          </cell>
          <cell r="H1611" t="str">
            <v>Spin-on Fuel Filter</v>
          </cell>
        </row>
        <row r="1612">
          <cell r="G1612" t="str">
            <v>AF1046</v>
          </cell>
          <cell r="H1612" t="str">
            <v>Flexible Panel Air Filter</v>
          </cell>
        </row>
        <row r="1613">
          <cell r="G1613" t="str">
            <v>P998</v>
          </cell>
          <cell r="H1613" t="str">
            <v>Cartridge Oil Filter</v>
          </cell>
        </row>
        <row r="1614">
          <cell r="G1614" t="str">
            <v>G6580</v>
          </cell>
          <cell r="H1614" t="str">
            <v>In-Line Fuel Filter</v>
          </cell>
        </row>
        <row r="1615">
          <cell r="G1615" t="str">
            <v>LFP2213</v>
          </cell>
          <cell r="H1615" t="str">
            <v>Spin-on Oil Filter</v>
          </cell>
        </row>
        <row r="1616">
          <cell r="G1616" t="str">
            <v>LFF4511DPS</v>
          </cell>
          <cell r="H1616" t="str">
            <v>Fuel Dispensing Filter</v>
          </cell>
        </row>
        <row r="1617">
          <cell r="G1617" t="str">
            <v>LFH4407</v>
          </cell>
          <cell r="H1617" t="str">
            <v>Spin-on Hydraulic Filter</v>
          </cell>
        </row>
        <row r="1618">
          <cell r="G1618" t="str">
            <v>LAF3716</v>
          </cell>
          <cell r="H1618" t="str">
            <v>HD Metal-End Air Filter</v>
          </cell>
        </row>
        <row r="1619">
          <cell r="G1619" t="str">
            <v>LFH6197</v>
          </cell>
          <cell r="H1619" t="str">
            <v>Spin-on Hydraulic Filter</v>
          </cell>
        </row>
        <row r="1620">
          <cell r="G1620" t="str">
            <v>LFH22043</v>
          </cell>
          <cell r="H1620" t="str">
            <v>Spin-on Hydraulic Filter</v>
          </cell>
        </row>
        <row r="1621">
          <cell r="G1621" t="str">
            <v>LAF5835</v>
          </cell>
          <cell r="H1621" t="str">
            <v>HD Metal-End Air Filter-Inner</v>
          </cell>
        </row>
        <row r="1622">
          <cell r="G1622" t="str">
            <v>LAF8116</v>
          </cell>
          <cell r="H1622" t="str">
            <v>Nano Tech HD Metal End Air Filter</v>
          </cell>
        </row>
        <row r="1623">
          <cell r="G1623" t="str">
            <v>LK1MA</v>
          </cell>
          <cell r="H1623" t="str">
            <v>Mack Engine Maintenance Kit</v>
          </cell>
        </row>
        <row r="1624">
          <cell r="G1624" t="str">
            <v>P985</v>
          </cell>
          <cell r="H1624" t="str">
            <v>Cartridge Oil Filter</v>
          </cell>
        </row>
        <row r="1625">
          <cell r="G1625" t="str">
            <v>AF4055</v>
          </cell>
          <cell r="H1625" t="str">
            <v>Rigid Panel Air Filter</v>
          </cell>
        </row>
        <row r="1626">
          <cell r="G1626" t="str">
            <v>LFF4294</v>
          </cell>
          <cell r="H1626" t="str">
            <v>Spin-on Fuel Water Separator Filter</v>
          </cell>
        </row>
        <row r="1627">
          <cell r="G1627" t="str">
            <v>LFF5950</v>
          </cell>
          <cell r="H1627" t="str">
            <v>Spin-on Fuel Water Separator Filter</v>
          </cell>
        </row>
        <row r="1628">
          <cell r="G1628" t="str">
            <v>T649</v>
          </cell>
          <cell r="H1628" t="str">
            <v>Transmission Filter Kit</v>
          </cell>
        </row>
        <row r="1629">
          <cell r="G1629" t="str">
            <v>LAF5720</v>
          </cell>
          <cell r="H1629" t="str">
            <v>Radial Seal Inner Air Filter</v>
          </cell>
        </row>
        <row r="1630">
          <cell r="G1630" t="str">
            <v>LH22019</v>
          </cell>
          <cell r="H1630" t="str">
            <v>Cartridge Hydraulic Filter</v>
          </cell>
        </row>
        <row r="1631">
          <cell r="G1631" t="str">
            <v>CAF1843C</v>
          </cell>
          <cell r="H1631" t="str">
            <v>Cabin Air Filter (Carbon)</v>
          </cell>
        </row>
        <row r="1632">
          <cell r="G1632" t="str">
            <v>LAF8567</v>
          </cell>
          <cell r="H1632" t="str">
            <v>HD Metal-End Air Filter</v>
          </cell>
        </row>
        <row r="1633">
          <cell r="G1633" t="str">
            <v>LAF8551</v>
          </cell>
          <cell r="H1633" t="str">
            <v>HD Round Air Filter with Attached Boot</v>
          </cell>
        </row>
        <row r="1634">
          <cell r="G1634" t="str">
            <v>LAF5516</v>
          </cell>
          <cell r="H1634" t="str">
            <v>HD Metal-End Air Filter</v>
          </cell>
        </row>
        <row r="1635">
          <cell r="G1635" t="str">
            <v>T415</v>
          </cell>
          <cell r="H1635" t="str">
            <v>Transmission Filter Kit</v>
          </cell>
        </row>
        <row r="1636">
          <cell r="G1636" t="str">
            <v>LH4248V</v>
          </cell>
          <cell r="H1636" t="str">
            <v>Cartridge Hydraulic Filter</v>
          </cell>
        </row>
        <row r="1637">
          <cell r="G1637" t="str">
            <v>T178</v>
          </cell>
          <cell r="H1637" t="str">
            <v>Transmission Filter Kit</v>
          </cell>
        </row>
        <row r="1638">
          <cell r="G1638" t="str">
            <v>LAF1040</v>
          </cell>
          <cell r="H1638" t="str">
            <v>HD Metal-End Air Filter</v>
          </cell>
        </row>
        <row r="1639">
          <cell r="G1639" t="str">
            <v>LFH4210</v>
          </cell>
          <cell r="H1639" t="str">
            <v>Spin-on Hydraulic Filter</v>
          </cell>
        </row>
        <row r="1640">
          <cell r="G1640" t="str">
            <v>LFH8204</v>
          </cell>
          <cell r="H1640" t="str">
            <v>Spin-on Hydraulic Filter</v>
          </cell>
        </row>
        <row r="1641">
          <cell r="G1641" t="str">
            <v>LFH5323</v>
          </cell>
          <cell r="H1641" t="str">
            <v>Spin-on Hydraulic Filter</v>
          </cell>
        </row>
        <row r="1642">
          <cell r="G1642" t="str">
            <v>AF305</v>
          </cell>
          <cell r="H1642" t="str">
            <v>Round Air Filter</v>
          </cell>
        </row>
        <row r="1643">
          <cell r="G1643">
            <v>4666</v>
          </cell>
          <cell r="H1643" t="str">
            <v>F170 with fuel/water separator paper element Filter</v>
          </cell>
        </row>
        <row r="1644">
          <cell r="G1644" t="str">
            <v>AF4025</v>
          </cell>
          <cell r="H1644" t="str">
            <v>Rigid Panel Air Filter</v>
          </cell>
        </row>
        <row r="1645">
          <cell r="G1645" t="str">
            <v>AF4023</v>
          </cell>
          <cell r="H1645" t="str">
            <v>Flexible Panel Air Filter</v>
          </cell>
        </row>
        <row r="1646">
          <cell r="G1646" t="str">
            <v>CAF1814P</v>
          </cell>
          <cell r="H1646" t="str">
            <v>Cabin Air Filter</v>
          </cell>
        </row>
        <row r="1647">
          <cell r="G1647" t="str">
            <v>P2</v>
          </cell>
          <cell r="H1647" t="str">
            <v>Cartridge Oil Filter</v>
          </cell>
        </row>
        <row r="1648">
          <cell r="G1648" t="str">
            <v>AF3219</v>
          </cell>
          <cell r="H1648" t="str">
            <v>Flexible Panel Air Filter</v>
          </cell>
        </row>
        <row r="1649">
          <cell r="G1649" t="str">
            <v>LP2545</v>
          </cell>
          <cell r="H1649" t="str">
            <v>Cartridge Oil Filter</v>
          </cell>
        </row>
        <row r="1650">
          <cell r="G1650" t="str">
            <v>LFP2241</v>
          </cell>
          <cell r="H1650" t="str">
            <v>Spin-on Oil Filter</v>
          </cell>
        </row>
        <row r="1651">
          <cell r="G1651" t="str">
            <v>LP816</v>
          </cell>
          <cell r="H1651" t="str">
            <v>Cartridge Oil Filter</v>
          </cell>
        </row>
        <row r="1652">
          <cell r="G1652" t="str">
            <v>AF5203</v>
          </cell>
          <cell r="H1652" t="str">
            <v>Rigid Panel Air Filter</v>
          </cell>
        </row>
        <row r="1653">
          <cell r="G1653" t="str">
            <v>LAF8085</v>
          </cell>
          <cell r="H1653" t="str">
            <v>Radial Seal Air Filter (Primary)</v>
          </cell>
        </row>
        <row r="1654">
          <cell r="G1654" t="str">
            <v>LAF6032</v>
          </cell>
          <cell r="H1654" t="str">
            <v>HD Metal-End Air Filter</v>
          </cell>
        </row>
        <row r="1655">
          <cell r="G1655" t="str">
            <v>LFF9002</v>
          </cell>
          <cell r="H1655" t="str">
            <v>Bowl Style Fuel Water Separator Filter</v>
          </cell>
        </row>
        <row r="1656">
          <cell r="G1656" t="str">
            <v>LFH9393</v>
          </cell>
          <cell r="H1656" t="str">
            <v>Spin-on Hydraulic Filter</v>
          </cell>
        </row>
        <row r="1657">
          <cell r="G1657" t="str">
            <v>CAF1730</v>
          </cell>
          <cell r="H1657" t="str">
            <v>Cabin Air Filter</v>
          </cell>
        </row>
        <row r="1658">
          <cell r="G1658" t="str">
            <v>T718</v>
          </cell>
          <cell r="H1658" t="str">
            <v>Transmission Filter Kit</v>
          </cell>
        </row>
        <row r="1659">
          <cell r="G1659" t="str">
            <v>T216</v>
          </cell>
          <cell r="H1659" t="str">
            <v>Transmission Filter Kit</v>
          </cell>
        </row>
        <row r="1660">
          <cell r="G1660" t="str">
            <v>.75N1-12A</v>
          </cell>
          <cell r="H1660" t="str">
            <v xml:space="preserve"> HYDRAULIC BASE</v>
          </cell>
        </row>
        <row r="1661">
          <cell r="G1661">
            <v>21221</v>
          </cell>
          <cell r="H1661" t="str">
            <v>IMPERIAL 750</v>
          </cell>
        </row>
        <row r="1662">
          <cell r="G1662" t="str">
            <v>AF4015</v>
          </cell>
          <cell r="H1662" t="str">
            <v>Rigid Panel Air Filter</v>
          </cell>
        </row>
        <row r="1663">
          <cell r="G1663" t="str">
            <v>AF3605</v>
          </cell>
          <cell r="H1663" t="str">
            <v>Flexible Panel Air Filter</v>
          </cell>
        </row>
        <row r="1664">
          <cell r="G1664" t="str">
            <v>LAF9972</v>
          </cell>
          <cell r="H1664" t="str">
            <v>Round Inner Air Filter with Flanged Endcap</v>
          </cell>
        </row>
        <row r="1665">
          <cell r="G1665" t="str">
            <v>LAF3498</v>
          </cell>
          <cell r="H1665" t="str">
            <v>Inner Air Filter</v>
          </cell>
        </row>
        <row r="1666">
          <cell r="G1666" t="str">
            <v>L3515F</v>
          </cell>
          <cell r="H1666" t="str">
            <v>Cartridge Fuel Filter</v>
          </cell>
        </row>
        <row r="1667">
          <cell r="G1667" t="str">
            <v>AF59</v>
          </cell>
          <cell r="H1667" t="str">
            <v>Breather Filter</v>
          </cell>
        </row>
        <row r="1668">
          <cell r="G1668" t="str">
            <v>AF409</v>
          </cell>
          <cell r="H1668" t="str">
            <v>Round Air Filter</v>
          </cell>
        </row>
        <row r="1669">
          <cell r="G1669" t="str">
            <v>LAF3551MXM</v>
          </cell>
          <cell r="H1669" t="str">
            <v xml:space="preserve">Nano Tech HD Round Air Filter w/Attached Lid  </v>
          </cell>
        </row>
        <row r="1670">
          <cell r="G1670" t="str">
            <v>LAF1591</v>
          </cell>
          <cell r="H1670" t="str">
            <v>Metal-End Air Filter with Closed Top End Cap</v>
          </cell>
        </row>
        <row r="1671">
          <cell r="G1671" t="str">
            <v>ZINC</v>
          </cell>
          <cell r="H1671" t="str">
            <v>Vent Plug/272-C, 363-C, 500-C, 750-C, 3C, 2C</v>
          </cell>
        </row>
        <row r="1672">
          <cell r="G1672" t="str">
            <v>AF293</v>
          </cell>
          <cell r="H1672" t="str">
            <v>Rigid Panel Air Filter</v>
          </cell>
        </row>
        <row r="1673">
          <cell r="G1673" t="str">
            <v>AF7921</v>
          </cell>
          <cell r="H1673" t="str">
            <v>Flexible Panel Air Filter</v>
          </cell>
        </row>
        <row r="1674">
          <cell r="G1674" t="str">
            <v>AF212</v>
          </cell>
          <cell r="H1674" t="str">
            <v>Round Air Filter</v>
          </cell>
        </row>
        <row r="1675">
          <cell r="G1675" t="str">
            <v>LAF1714</v>
          </cell>
          <cell r="H1675" t="str">
            <v>HD Metal-End Air Filter</v>
          </cell>
        </row>
        <row r="1676">
          <cell r="G1676" t="str">
            <v>LFF5926</v>
          </cell>
          <cell r="H1676" t="str">
            <v>Spin-on Fuel Water Separator Filter</v>
          </cell>
        </row>
        <row r="1677">
          <cell r="G1677" t="str">
            <v>G6642</v>
          </cell>
          <cell r="H1677" t="str">
            <v>In-Line Fuel Filter</v>
          </cell>
        </row>
        <row r="1678">
          <cell r="G1678" t="str">
            <v>LAF7360</v>
          </cell>
          <cell r="H1678" t="str">
            <v>Round Inner Air Filter with Flanged Endcap</v>
          </cell>
        </row>
        <row r="1679">
          <cell r="G1679" t="str">
            <v>AF51</v>
          </cell>
          <cell r="H1679" t="str">
            <v>Round Air Filter</v>
          </cell>
        </row>
        <row r="1680">
          <cell r="G1680" t="str">
            <v>T654</v>
          </cell>
          <cell r="H1680" t="str">
            <v>Transmission Filter Kit</v>
          </cell>
        </row>
        <row r="1681">
          <cell r="G1681" t="str">
            <v>LAF5783</v>
          </cell>
          <cell r="H1681" t="str">
            <v>Radial Seal Outer Air Filter</v>
          </cell>
        </row>
        <row r="1682">
          <cell r="G1682" t="str">
            <v>T770</v>
          </cell>
          <cell r="H1682" t="str">
            <v>Transmission Kit sump and spin-on return filter</v>
          </cell>
        </row>
        <row r="1683">
          <cell r="G1683" t="str">
            <v>L4107F</v>
          </cell>
          <cell r="H1683" t="str">
            <v>Cartridge Fuel Filter</v>
          </cell>
        </row>
        <row r="1684">
          <cell r="G1684" t="str">
            <v>LAF8225</v>
          </cell>
          <cell r="H1684" t="str">
            <v>Finned Vane Air Filter</v>
          </cell>
        </row>
        <row r="1685">
          <cell r="G1685" t="str">
            <v>LAF7358</v>
          </cell>
          <cell r="H1685" t="str">
            <v>Rigid Panel Air Filter</v>
          </cell>
        </row>
        <row r="1686">
          <cell r="G1686" t="str">
            <v>LFP8462</v>
          </cell>
          <cell r="H1686" t="str">
            <v>Spin-on Oil Filter</v>
          </cell>
        </row>
        <row r="1687">
          <cell r="G1687" t="str">
            <v>LAF8121</v>
          </cell>
          <cell r="H1687" t="str">
            <v>Round Air Filter</v>
          </cell>
        </row>
        <row r="1688">
          <cell r="G1688" t="str">
            <v>LH11007</v>
          </cell>
          <cell r="H1688" t="str">
            <v>Industrial Cartridge Hydraulic Filter</v>
          </cell>
        </row>
        <row r="1689">
          <cell r="G1689" t="str">
            <v>LK170M</v>
          </cell>
          <cell r="H1689" t="str">
            <v>Mack Engine Maintenance Kit</v>
          </cell>
        </row>
        <row r="1690">
          <cell r="G1690" t="str">
            <v>LK351M</v>
          </cell>
          <cell r="H1690" t="str">
            <v>Mack Engine Maintenance Kit</v>
          </cell>
        </row>
        <row r="1691">
          <cell r="G1691" t="str">
            <v>CAF24001XL</v>
          </cell>
          <cell r="H1691" t="str">
            <v>Cabin Air Filter (Carbon) Extreme Clean</v>
          </cell>
        </row>
        <row r="1692">
          <cell r="G1692" t="str">
            <v>LAF65</v>
          </cell>
          <cell r="H1692" t="str">
            <v>Round Plastisol Air Filter</v>
          </cell>
        </row>
        <row r="1693">
          <cell r="G1693" t="str">
            <v>LH4234</v>
          </cell>
          <cell r="H1693" t="str">
            <v>Cartridge Hydraulic Filter</v>
          </cell>
        </row>
        <row r="1694">
          <cell r="G1694" t="str">
            <v>LFP5971</v>
          </cell>
          <cell r="H1694" t="str">
            <v>Spin-on Oil Filter</v>
          </cell>
        </row>
        <row r="1695">
          <cell r="G1695" t="str">
            <v>P837</v>
          </cell>
          <cell r="H1695" t="str">
            <v>Cartridge Oil Filter</v>
          </cell>
        </row>
        <row r="1696">
          <cell r="G1696" t="str">
            <v>P856</v>
          </cell>
          <cell r="H1696" t="str">
            <v>Cartridge Oil Filter</v>
          </cell>
        </row>
        <row r="1697">
          <cell r="G1697" t="str">
            <v>AF8918</v>
          </cell>
          <cell r="H1697" t="str">
            <v>Round Plastisol Air Filter</v>
          </cell>
        </row>
        <row r="1698">
          <cell r="G1698" t="str">
            <v>AF4031</v>
          </cell>
          <cell r="H1698" t="str">
            <v>Rigid Panel Air Filter</v>
          </cell>
        </row>
        <row r="1699">
          <cell r="G1699" t="str">
            <v>CAF1876P</v>
          </cell>
          <cell r="H1699" t="str">
            <v>Cabin Air Filter</v>
          </cell>
        </row>
        <row r="1700">
          <cell r="G1700" t="str">
            <v>LAF8392</v>
          </cell>
          <cell r="H1700" t="str">
            <v>HD Metal-End Inner Air Filter</v>
          </cell>
        </row>
        <row r="1701">
          <cell r="G1701" t="str">
            <v>L624F</v>
          </cell>
          <cell r="H1701" t="str">
            <v>Cartridge Fuel Filter</v>
          </cell>
        </row>
        <row r="1702">
          <cell r="G1702" t="str">
            <v>LFP6288</v>
          </cell>
          <cell r="H1702" t="str">
            <v>Spin-on Oil Filter</v>
          </cell>
        </row>
        <row r="1703">
          <cell r="G1703" t="str">
            <v>LFF9011</v>
          </cell>
          <cell r="H1703" t="str">
            <v>Bowl Style Fuel Water Separator Filter</v>
          </cell>
        </row>
        <row r="1704">
          <cell r="G1704" t="str">
            <v>LFP7164</v>
          </cell>
          <cell r="H1704" t="str">
            <v>Spin-on By-Pass Oil Filter</v>
          </cell>
        </row>
        <row r="1705">
          <cell r="G1705" t="str">
            <v>AF253</v>
          </cell>
          <cell r="H1705" t="str">
            <v>Oval Air Filter</v>
          </cell>
        </row>
        <row r="1706">
          <cell r="G1706" t="str">
            <v>LAF5070</v>
          </cell>
          <cell r="H1706" t="str">
            <v>HD Metal-End Air Filter</v>
          </cell>
        </row>
        <row r="1707">
          <cell r="G1707" t="str">
            <v>LFH4944</v>
          </cell>
          <cell r="H1707" t="str">
            <v>Spin-on Hydraulic Filter</v>
          </cell>
        </row>
        <row r="1708">
          <cell r="G1708" t="str">
            <v>G6321</v>
          </cell>
          <cell r="H1708" t="str">
            <v>In-Line Fuel Filter</v>
          </cell>
        </row>
        <row r="1709">
          <cell r="G1709" t="str">
            <v>L3921F</v>
          </cell>
          <cell r="H1709" t="str">
            <v>Snap-Lock Fuel Filter</v>
          </cell>
        </row>
        <row r="1710">
          <cell r="G1710" t="str">
            <v>LAF916</v>
          </cell>
          <cell r="H1710" t="str">
            <v>Metal-End Air Filter with Closed Top End Cap</v>
          </cell>
        </row>
        <row r="1711">
          <cell r="G1711" t="str">
            <v>LP4373</v>
          </cell>
          <cell r="H1711" t="str">
            <v>Cartridge hydraulic filter</v>
          </cell>
        </row>
        <row r="1712">
          <cell r="G1712" t="str">
            <v>P972</v>
          </cell>
          <cell r="H1712" t="str">
            <v>Cartridge Oil Filter</v>
          </cell>
        </row>
        <row r="1713">
          <cell r="G1713" t="str">
            <v>P8170</v>
          </cell>
          <cell r="H1713" t="str">
            <v>Cartridge Oil Filter</v>
          </cell>
        </row>
        <row r="1714">
          <cell r="G1714" t="str">
            <v>CAF1868P</v>
          </cell>
          <cell r="H1714" t="str">
            <v>Cabin Air Filter</v>
          </cell>
        </row>
        <row r="1715">
          <cell r="G1715" t="str">
            <v>P907</v>
          </cell>
          <cell r="H1715" t="str">
            <v>Cartridge Oil Filter</v>
          </cell>
        </row>
        <row r="1716">
          <cell r="G1716" t="str">
            <v>LH5843</v>
          </cell>
          <cell r="H1716" t="str">
            <v>Cartridge Hydraulic Filter</v>
          </cell>
        </row>
        <row r="1717">
          <cell r="G1717" t="str">
            <v>AF4052</v>
          </cell>
          <cell r="H1717" t="str">
            <v>Panel Air Irregular Shaped Filter</v>
          </cell>
        </row>
        <row r="1718">
          <cell r="G1718" t="str">
            <v>LAF1917</v>
          </cell>
          <cell r="H1718" t="str">
            <v>HD Metal-End Air Filter</v>
          </cell>
        </row>
        <row r="1719">
          <cell r="G1719" t="str">
            <v>LAF1924</v>
          </cell>
          <cell r="H1719" t="str">
            <v>Finned Vane Air Filter</v>
          </cell>
        </row>
        <row r="1720">
          <cell r="G1720" t="str">
            <v>LAF1723</v>
          </cell>
          <cell r="H1720" t="str">
            <v>HD Metal-End Air Filter-Inner</v>
          </cell>
        </row>
        <row r="1721">
          <cell r="G1721" t="str">
            <v>LH8489G</v>
          </cell>
          <cell r="H1721" t="str">
            <v>Cartridge Hydraulic Filter</v>
          </cell>
        </row>
        <row r="1722">
          <cell r="G1722" t="str">
            <v>LFF9737U</v>
          </cell>
          <cell r="H1722" t="str">
            <v>Bowless Fuel Water Separator Filter</v>
          </cell>
        </row>
        <row r="1723">
          <cell r="G1723" t="str">
            <v>LAF1864</v>
          </cell>
          <cell r="H1723" t="str">
            <v>HD Metal-End Air Filter</v>
          </cell>
        </row>
        <row r="1724">
          <cell r="G1724" t="str">
            <v>LAF8476</v>
          </cell>
          <cell r="H1724" t="str">
            <v>Round Air Filter</v>
          </cell>
        </row>
        <row r="1725">
          <cell r="G1725" t="str">
            <v>LAF7752</v>
          </cell>
          <cell r="H1725" t="str">
            <v>HD Metal-End Air Filter</v>
          </cell>
        </row>
        <row r="1726">
          <cell r="G1726" t="str">
            <v>FW6HD</v>
          </cell>
          <cell r="H1726" t="str">
            <v>Heavy Duty Band Wrench requires 1/2" drive tool. Used on 4 1/4" to 4 3/4" diamter filters.</v>
          </cell>
        </row>
        <row r="1727">
          <cell r="G1727" t="str">
            <v>L900B</v>
          </cell>
          <cell r="H1727" t="str">
            <v>Glass Bowl</v>
          </cell>
        </row>
        <row r="1728">
          <cell r="G1728" t="str">
            <v>LAF15F</v>
          </cell>
          <cell r="H1728" t="str">
            <v>Foam Wrap Air Filter</v>
          </cell>
        </row>
        <row r="1729">
          <cell r="G1729" t="str">
            <v>LH95105V</v>
          </cell>
          <cell r="H1729" t="str">
            <v>Cartridge Hydraulic Filter</v>
          </cell>
        </row>
        <row r="1730">
          <cell r="G1730" t="str">
            <v>LFH4431</v>
          </cell>
          <cell r="H1730" t="str">
            <v>Spin-on Hydraulic Filter</v>
          </cell>
        </row>
        <row r="1731">
          <cell r="G1731" t="str">
            <v>750</v>
          </cell>
          <cell r="H1731" t="str">
            <v>Luber-finer 750 housing, microcell extremely fine micronic filtration of aircraft &amp; missile hydraulic fluids</v>
          </cell>
        </row>
        <row r="1732">
          <cell r="G1732" t="str">
            <v>P52</v>
          </cell>
          <cell r="H1732" t="str">
            <v>Cartridge Oil Filter</v>
          </cell>
        </row>
        <row r="1733">
          <cell r="G1733" t="str">
            <v>AF3997</v>
          </cell>
          <cell r="H1733" t="str">
            <v>Flexible Panel Air Filter</v>
          </cell>
        </row>
        <row r="1734">
          <cell r="G1734" t="str">
            <v>PH2809</v>
          </cell>
          <cell r="H1734" t="str">
            <v>Spin-on Oil Filter</v>
          </cell>
        </row>
        <row r="1735">
          <cell r="G1735" t="str">
            <v>AF2442</v>
          </cell>
          <cell r="H1735" t="str">
            <v>Panel Air Irregular Shaped Filter</v>
          </cell>
        </row>
        <row r="1736">
          <cell r="G1736" t="str">
            <v>LAF851</v>
          </cell>
          <cell r="H1736" t="str">
            <v>HD Metal-End Air Filter</v>
          </cell>
        </row>
        <row r="1737">
          <cell r="G1737" t="str">
            <v>LAF1734</v>
          </cell>
          <cell r="H1737" t="str">
            <v>Finned Vane Air Filter</v>
          </cell>
        </row>
        <row r="1738">
          <cell r="G1738" t="str">
            <v>LH11033V</v>
          </cell>
          <cell r="H1738" t="str">
            <v>Industrial Cartridge Hydraulic Filter</v>
          </cell>
        </row>
        <row r="1739">
          <cell r="G1739" t="str">
            <v>L5085F</v>
          </cell>
          <cell r="H1739" t="str">
            <v>Cartridge Fuel Filter</v>
          </cell>
        </row>
        <row r="1740">
          <cell r="G1740" t="str">
            <v>LAF7313</v>
          </cell>
          <cell r="H1740" t="str">
            <v>HD Metal-End Inner Air Filter</v>
          </cell>
        </row>
        <row r="1741">
          <cell r="G1741" t="str">
            <v>LH8094</v>
          </cell>
          <cell r="H1741" t="str">
            <v>Cartridge Hydraulic Filter</v>
          </cell>
        </row>
        <row r="1742">
          <cell r="G1742" t="str">
            <v>LAF2671</v>
          </cell>
          <cell r="H1742" t="str">
            <v>Panel Air Filter Metal Framed</v>
          </cell>
        </row>
        <row r="1743">
          <cell r="G1743" t="str">
            <v>LAF5974</v>
          </cell>
          <cell r="H1743" t="str">
            <v>Radial Seal Inner Air Filter</v>
          </cell>
        </row>
        <row r="1744">
          <cell r="G1744" t="str">
            <v>P1051</v>
          </cell>
          <cell r="H1744" t="str">
            <v>Cartridge Oil Filter</v>
          </cell>
        </row>
        <row r="1745">
          <cell r="G1745" t="str">
            <v>LFW6501</v>
          </cell>
          <cell r="H1745" t="str">
            <v>Controll Release Spin-on Coolant Filter</v>
          </cell>
        </row>
        <row r="1746">
          <cell r="G1746" t="str">
            <v>LP2017</v>
          </cell>
          <cell r="H1746" t="str">
            <v>26-35768 O-RING RED VITON Gasket</v>
          </cell>
        </row>
        <row r="1747">
          <cell r="G1747" t="str">
            <v>LWC22155</v>
          </cell>
          <cell r="H1747" t="str">
            <v>Air Dryer Filter</v>
          </cell>
        </row>
        <row r="1748">
          <cell r="G1748" t="str">
            <v>LAF22106</v>
          </cell>
          <cell r="H1748" t="str">
            <v>HD Metal-End Air Filter</v>
          </cell>
        </row>
        <row r="1749">
          <cell r="G1749" t="str">
            <v>PH7018</v>
          </cell>
          <cell r="H1749" t="str">
            <v>Spin-on Oil Filter</v>
          </cell>
        </row>
        <row r="1750">
          <cell r="G1750" t="str">
            <v>AF312</v>
          </cell>
          <cell r="H1750" t="str">
            <v>Oval Air Filter</v>
          </cell>
        </row>
        <row r="1751">
          <cell r="G1751" t="str">
            <v>G6571</v>
          </cell>
          <cell r="H1751" t="str">
            <v>In-Line Fuel Filter</v>
          </cell>
        </row>
        <row r="1752">
          <cell r="G1752" t="str">
            <v>LOSK-5D</v>
          </cell>
          <cell r="H1752" t="str">
            <v>Oil Analysis Test Kit</v>
          </cell>
        </row>
        <row r="1753">
          <cell r="G1753" t="str">
            <v>CAF1764</v>
          </cell>
          <cell r="H1753" t="str">
            <v>Cabin Air Filter</v>
          </cell>
        </row>
        <row r="1754">
          <cell r="G1754" t="str">
            <v>P968</v>
          </cell>
          <cell r="H1754" t="str">
            <v>Cartridge Oil Filter</v>
          </cell>
        </row>
        <row r="1755">
          <cell r="G1755" t="str">
            <v>AF3917</v>
          </cell>
          <cell r="H1755" t="str">
            <v>Panel Air Filter</v>
          </cell>
        </row>
        <row r="1756">
          <cell r="G1756" t="str">
            <v>AF3983</v>
          </cell>
          <cell r="H1756" t="str">
            <v>Panel Air Filter</v>
          </cell>
        </row>
        <row r="1757">
          <cell r="G1757" t="str">
            <v>G6597</v>
          </cell>
          <cell r="H1757" t="str">
            <v>In-Line Fuel Filter</v>
          </cell>
        </row>
        <row r="1758">
          <cell r="G1758" t="str">
            <v>T631</v>
          </cell>
          <cell r="H1758" t="str">
            <v>Transmission Filter Kit</v>
          </cell>
        </row>
        <row r="1759">
          <cell r="G1759" t="str">
            <v>G1055</v>
          </cell>
          <cell r="H1759" t="str">
            <v>In-Line Fuel Filter</v>
          </cell>
        </row>
        <row r="1760">
          <cell r="G1760" t="str">
            <v>P772</v>
          </cell>
          <cell r="H1760" t="str">
            <v>Cartridge Oil Filter</v>
          </cell>
        </row>
        <row r="1761">
          <cell r="G1761" t="str">
            <v>P7FF</v>
          </cell>
          <cell r="H1761" t="str">
            <v>Cartridge Oil Filter</v>
          </cell>
        </row>
        <row r="1762">
          <cell r="G1762" t="str">
            <v>LAF131</v>
          </cell>
          <cell r="H1762" t="str">
            <v>HD Metal-End Air Filter</v>
          </cell>
        </row>
        <row r="1763">
          <cell r="G1763" t="str">
            <v>P7007</v>
          </cell>
          <cell r="H1763" t="str">
            <v>Cartridge Oil Filter</v>
          </cell>
        </row>
        <row r="1764">
          <cell r="G1764" t="str">
            <v>LH4914</v>
          </cell>
          <cell r="H1764" t="str">
            <v>Cartridge Hydraulic Filter</v>
          </cell>
        </row>
        <row r="1765">
          <cell r="G1765" t="str">
            <v>CAF1745</v>
          </cell>
          <cell r="H1765" t="str">
            <v>Cabin Air Filter</v>
          </cell>
        </row>
        <row r="1766">
          <cell r="G1766" t="str">
            <v>LAF5732</v>
          </cell>
          <cell r="H1766" t="str">
            <v>Radial Seal Inner Air Filter</v>
          </cell>
        </row>
        <row r="1767">
          <cell r="G1767" t="str">
            <v>LH5953</v>
          </cell>
          <cell r="H1767" t="str">
            <v>Cartridge Hydraulic Filter</v>
          </cell>
        </row>
        <row r="1768">
          <cell r="G1768" t="str">
            <v>CAF1879P</v>
          </cell>
          <cell r="H1768" t="str">
            <v>Cabin Air Filter</v>
          </cell>
        </row>
        <row r="1769">
          <cell r="G1769" t="str">
            <v>LFH4427</v>
          </cell>
          <cell r="H1769" t="str">
            <v>Spin-on Hydraulic Filter</v>
          </cell>
        </row>
        <row r="1770">
          <cell r="G1770" t="str">
            <v>G8219</v>
          </cell>
          <cell r="H1770" t="str">
            <v>In-Line Fuel Filter</v>
          </cell>
        </row>
        <row r="1771">
          <cell r="G1771" t="str">
            <v>L6916F</v>
          </cell>
          <cell r="H1771" t="str">
            <v>Cartridge Fuel Filter</v>
          </cell>
        </row>
        <row r="1772">
          <cell r="G1772" t="str">
            <v>LAF3704</v>
          </cell>
          <cell r="H1772" t="str">
            <v>HD Metal-End Air Filter</v>
          </cell>
        </row>
        <row r="1773">
          <cell r="G1773" t="str">
            <v>LAF5026</v>
          </cell>
          <cell r="H1773" t="str">
            <v>Panel Air Filter Metal Framed</v>
          </cell>
        </row>
        <row r="1774">
          <cell r="G1774" t="str">
            <v>LH22126</v>
          </cell>
          <cell r="H1774" t="str">
            <v>Cartridge Hydraulic Filter</v>
          </cell>
        </row>
        <row r="1775">
          <cell r="G1775" t="str">
            <v>AF4008</v>
          </cell>
          <cell r="H1775" t="str">
            <v>Rigid Panel Air Filter</v>
          </cell>
        </row>
        <row r="1776">
          <cell r="G1776" t="str">
            <v>P982</v>
          </cell>
          <cell r="H1776" t="str">
            <v>Cartridge Oil Filter</v>
          </cell>
        </row>
        <row r="1777">
          <cell r="G1777" t="str">
            <v>LAF1800</v>
          </cell>
          <cell r="H1777" t="str">
            <v>HD Metal-End Air Filter</v>
          </cell>
        </row>
        <row r="1778">
          <cell r="G1778" t="str">
            <v>AF5195</v>
          </cell>
          <cell r="H1778" t="str">
            <v>Rigid Panel Air Filter</v>
          </cell>
        </row>
        <row r="1779">
          <cell r="G1779" t="str">
            <v>CAF1903P</v>
          </cell>
          <cell r="H1779" t="str">
            <v>Cabin Air Filter</v>
          </cell>
        </row>
        <row r="1780">
          <cell r="G1780" t="str">
            <v>AF102</v>
          </cell>
          <cell r="H1780" t="str">
            <v>Round Air Filter</v>
          </cell>
        </row>
        <row r="1781">
          <cell r="G1781" t="str">
            <v>AF5199</v>
          </cell>
          <cell r="H1781" t="str">
            <v>Flexible Panel Air Filter</v>
          </cell>
        </row>
        <row r="1782">
          <cell r="G1782" t="str">
            <v>CAF1858C</v>
          </cell>
          <cell r="H1782" t="str">
            <v>Cabin Air Filter (Carbon)</v>
          </cell>
        </row>
        <row r="1783">
          <cell r="G1783" t="str">
            <v>LAF4508</v>
          </cell>
          <cell r="H1783" t="str">
            <v>Radial Seal Inner Air Filter</v>
          </cell>
        </row>
        <row r="1784">
          <cell r="G1784" t="str">
            <v>PC319</v>
          </cell>
          <cell r="H1784" t="str">
            <v>PCV Valve</v>
          </cell>
        </row>
        <row r="1785">
          <cell r="G1785" t="str">
            <v>LAF1811</v>
          </cell>
          <cell r="H1785" t="str">
            <v>HD Round Air Filter with Attached Boot</v>
          </cell>
        </row>
        <row r="1786">
          <cell r="G1786" t="str">
            <v>T635</v>
          </cell>
          <cell r="H1786" t="str">
            <v>Transmission Filter Kit</v>
          </cell>
        </row>
        <row r="1787">
          <cell r="G1787" t="str">
            <v>G471</v>
          </cell>
          <cell r="H1787" t="str">
            <v>In-Line Fuel Filter</v>
          </cell>
        </row>
        <row r="1788">
          <cell r="G1788" t="str">
            <v>LAF8583</v>
          </cell>
          <cell r="H1788" t="str">
            <v>Finned Vane Air Filter With Attached Lid</v>
          </cell>
        </row>
        <row r="1789">
          <cell r="G1789" t="str">
            <v>LAF2534</v>
          </cell>
          <cell r="H1789" t="str">
            <v>Disposible Housing Air Filter</v>
          </cell>
        </row>
        <row r="1790">
          <cell r="G1790" t="str">
            <v>LAF5562</v>
          </cell>
          <cell r="H1790" t="str">
            <v>HD Metal-End Inner Air Filter</v>
          </cell>
        </row>
        <row r="1791">
          <cell r="G1791" t="str">
            <v>LAF8620</v>
          </cell>
          <cell r="H1791" t="str">
            <v>HD Round Finned Air Filter with Attached Lid</v>
          </cell>
        </row>
        <row r="1792">
          <cell r="G1792" t="str">
            <v>AF19</v>
          </cell>
          <cell r="H1792" t="str">
            <v>Round Air Filter</v>
          </cell>
        </row>
        <row r="1793">
          <cell r="G1793" t="str">
            <v>LH4939</v>
          </cell>
          <cell r="H1793" t="str">
            <v>Cartridge Hydraulic Filter</v>
          </cell>
        </row>
        <row r="1794">
          <cell r="G1794" t="str">
            <v>LAF8390</v>
          </cell>
          <cell r="H1794" t="str">
            <v>Round Inner Air Filter with Flanged Endcap</v>
          </cell>
        </row>
        <row r="1795">
          <cell r="G1795" t="str">
            <v>LAF1922</v>
          </cell>
          <cell r="H1795" t="str">
            <v>HD Metal-End Inner Air Filter</v>
          </cell>
        </row>
        <row r="1796">
          <cell r="G1796" t="str">
            <v>LAF1910</v>
          </cell>
          <cell r="H1796" t="str">
            <v>HD Metal-End Air Filter</v>
          </cell>
        </row>
        <row r="1797">
          <cell r="G1797" t="str">
            <v>LAF1841</v>
          </cell>
          <cell r="H1797" t="str">
            <v>HD Metal-End Air Filter</v>
          </cell>
        </row>
        <row r="1798">
          <cell r="G1798" t="str">
            <v>LFH8398</v>
          </cell>
          <cell r="H1798" t="str">
            <v>Hydraulic Spin-on Filter</v>
          </cell>
        </row>
        <row r="1799">
          <cell r="G1799" t="str">
            <v>LH8785</v>
          </cell>
          <cell r="H1799" t="str">
            <v>Cartridge Hydraulic Filter</v>
          </cell>
        </row>
        <row r="1800">
          <cell r="G1800" t="str">
            <v>LH22125</v>
          </cell>
          <cell r="H1800" t="str">
            <v>Cartridge Hydraulic Filter</v>
          </cell>
        </row>
        <row r="1801">
          <cell r="G1801" t="str">
            <v>LH4170</v>
          </cell>
          <cell r="H1801" t="str">
            <v>Cartridge Hydraulic Filter</v>
          </cell>
        </row>
        <row r="1802">
          <cell r="G1802" t="str">
            <v>LH4369</v>
          </cell>
          <cell r="H1802" t="str">
            <v>Cartridge Hydraulic Filter</v>
          </cell>
        </row>
        <row r="1803">
          <cell r="G1803" t="str">
            <v>LFP4005TRT</v>
          </cell>
          <cell r="H1803" t="str">
            <v>Spin-on Oil Filter</v>
          </cell>
        </row>
        <row r="1804">
          <cell r="G1804">
            <v>363</v>
          </cell>
          <cell r="H1804" t="str">
            <v>Luber-finer 363 diesel pak element filter (opt. applications) detergent type lube oil</v>
          </cell>
        </row>
        <row r="1805">
          <cell r="G1805" t="str">
            <v>970C</v>
          </cell>
          <cell r="H1805" t="str">
            <v>Industrial Full-flow Unit w/LP970-5 Element/970-C Filter</v>
          </cell>
        </row>
        <row r="1806">
          <cell r="G1806" t="str">
            <v>AF1031</v>
          </cell>
          <cell r="H1806" t="str">
            <v>Flexible Panel Air Filter</v>
          </cell>
        </row>
        <row r="1807">
          <cell r="G1807" t="str">
            <v>AF4043</v>
          </cell>
          <cell r="H1807" t="str">
            <v>Panel Air Irregular Shaped Filter</v>
          </cell>
        </row>
        <row r="1808">
          <cell r="G1808" t="str">
            <v>FP862F</v>
          </cell>
          <cell r="H1808" t="str">
            <v>Spin-on Fuel Water Separator Filter</v>
          </cell>
        </row>
        <row r="1809">
          <cell r="G1809" t="str">
            <v>LH8541</v>
          </cell>
          <cell r="H1809" t="str">
            <v>Cartridge Hydraulic Filter</v>
          </cell>
        </row>
        <row r="1810">
          <cell r="G1810" t="str">
            <v>LAF8086</v>
          </cell>
          <cell r="H1810" t="str">
            <v>Radial Seal Inner Air Filter Inner</v>
          </cell>
        </row>
        <row r="1811">
          <cell r="G1811" t="str">
            <v>LMB2000</v>
          </cell>
          <cell r="H1811" t="str">
            <v>Coalescer Filter Base Base used with LFP2000C, LFP2100C, LFP2200C, LFP3100C and LFP3200C</v>
          </cell>
        </row>
        <row r="1812">
          <cell r="G1812" t="str">
            <v>L3514F</v>
          </cell>
          <cell r="H1812" t="str">
            <v>Cartridge Fuel Filter</v>
          </cell>
        </row>
        <row r="1813">
          <cell r="G1813" t="str">
            <v>LAF5474</v>
          </cell>
          <cell r="H1813" t="str">
            <v>Radial Seal Outer Air Filter</v>
          </cell>
        </row>
        <row r="1814">
          <cell r="G1814" t="str">
            <v>AF52</v>
          </cell>
          <cell r="H1814" t="str">
            <v>Round Air Filter</v>
          </cell>
        </row>
        <row r="1815">
          <cell r="G1815" t="str">
            <v>LH4903</v>
          </cell>
          <cell r="H1815" t="str">
            <v>Cartridge Hydraulic Filter</v>
          </cell>
        </row>
        <row r="1816">
          <cell r="G1816" t="str">
            <v>LAF5154</v>
          </cell>
          <cell r="H1816" t="str">
            <v>Panel Air Filter Metal Framed</v>
          </cell>
        </row>
        <row r="1817">
          <cell r="G1817" t="str">
            <v>LAF320</v>
          </cell>
          <cell r="H1817" t="str">
            <v>Tube Type Air Filter</v>
          </cell>
        </row>
        <row r="1818">
          <cell r="G1818" t="str">
            <v>G475</v>
          </cell>
          <cell r="H1818" t="str">
            <v>In-Line Fuel Filter</v>
          </cell>
        </row>
        <row r="1819">
          <cell r="G1819" t="str">
            <v>LAF636</v>
          </cell>
          <cell r="H1819" t="str">
            <v>HD Metal-End Inner Air Filter</v>
          </cell>
        </row>
        <row r="1820">
          <cell r="G1820" t="str">
            <v>G573</v>
          </cell>
          <cell r="H1820" t="str">
            <v>In-Line Fuel Filter</v>
          </cell>
        </row>
        <row r="1821">
          <cell r="G1821" t="str">
            <v>T622</v>
          </cell>
          <cell r="H1821" t="str">
            <v>Transmission Filter Kit</v>
          </cell>
        </row>
        <row r="1822">
          <cell r="G1822" t="str">
            <v>LAF8200</v>
          </cell>
          <cell r="H1822" t="str">
            <v>Round Air Filter</v>
          </cell>
        </row>
        <row r="1823">
          <cell r="G1823" t="str">
            <v>LAF1863</v>
          </cell>
          <cell r="H1823" t="str">
            <v>HD Metal-End Air Filter</v>
          </cell>
        </row>
        <row r="1824">
          <cell r="G1824" t="str">
            <v>LAF8151</v>
          </cell>
          <cell r="H1824" t="str">
            <v>Radial Seal Outer Air Filter</v>
          </cell>
        </row>
        <row r="1825">
          <cell r="G1825" t="str">
            <v>LAF880</v>
          </cell>
          <cell r="H1825" t="str">
            <v>HD Round Air Filter with Attached Boot</v>
          </cell>
        </row>
        <row r="1826">
          <cell r="G1826" t="str">
            <v>LK291D</v>
          </cell>
          <cell r="H1826" t="str">
            <v>Detroit Diesel Engine Maintenance Kit</v>
          </cell>
        </row>
        <row r="1827">
          <cell r="G1827" t="str">
            <v>LFH8395G</v>
          </cell>
          <cell r="H1827" t="str">
            <v>Spin-on Hydraulic Filter</v>
          </cell>
        </row>
        <row r="1828">
          <cell r="G1828" t="str">
            <v>AF4048</v>
          </cell>
          <cell r="H1828" t="str">
            <v>Flexible Panel Air Filter</v>
          </cell>
        </row>
        <row r="1829">
          <cell r="G1829" t="str">
            <v>CAF7757</v>
          </cell>
          <cell r="H1829" t="str">
            <v>Cabin Air Filter (Carbon)</v>
          </cell>
        </row>
        <row r="1830">
          <cell r="G1830" t="str">
            <v>CAF1867P</v>
          </cell>
          <cell r="H1830" t="str">
            <v>Cabin Air Filter</v>
          </cell>
        </row>
        <row r="1831">
          <cell r="G1831" t="str">
            <v>LAF3496</v>
          </cell>
          <cell r="H1831" t="str">
            <v>HD Round Air Filter with Attached Boot</v>
          </cell>
        </row>
        <row r="1832">
          <cell r="G1832" t="str">
            <v>LAF8630</v>
          </cell>
          <cell r="H1832" t="str">
            <v>Finned Vane Air Filter</v>
          </cell>
        </row>
        <row r="1833">
          <cell r="G1833" t="str">
            <v>AF5209</v>
          </cell>
          <cell r="H1833" t="str">
            <v>Flexible Panel Air Filter</v>
          </cell>
        </row>
        <row r="1834">
          <cell r="G1834" t="str">
            <v>LFP5015G</v>
          </cell>
          <cell r="H1834" t="str">
            <v>Spin-on Hydraulic Filter</v>
          </cell>
        </row>
        <row r="1835">
          <cell r="G1835" t="str">
            <v>G1039</v>
          </cell>
          <cell r="H1835" t="str">
            <v>In-Line Fuel Filter</v>
          </cell>
        </row>
        <row r="1836">
          <cell r="G1836" t="str">
            <v>L9890F</v>
          </cell>
          <cell r="H1836" t="str">
            <v>Cartridge Fuel Filter</v>
          </cell>
        </row>
        <row r="1837">
          <cell r="G1837" t="str">
            <v>LAF2519</v>
          </cell>
          <cell r="H1837" t="str">
            <v>Round Inner Air Filter with Flanged Endcap</v>
          </cell>
        </row>
        <row r="1838">
          <cell r="G1838" t="str">
            <v>LAF2020</v>
          </cell>
          <cell r="H1838" t="str">
            <v>Tube Type Air Filter</v>
          </cell>
        </row>
        <row r="1839">
          <cell r="G1839" t="str">
            <v>LAF8404</v>
          </cell>
          <cell r="H1839" t="str">
            <v>Radial Seal Outer Air Filter</v>
          </cell>
        </row>
        <row r="1840">
          <cell r="G1840" t="str">
            <v>T226</v>
          </cell>
          <cell r="H1840" t="str">
            <v>Transmission Filter Kit</v>
          </cell>
        </row>
        <row r="1841">
          <cell r="G1841" t="str">
            <v>G8154</v>
          </cell>
          <cell r="H1841" t="str">
            <v>In-Line Fuel Filter</v>
          </cell>
        </row>
        <row r="1842">
          <cell r="G1842" t="str">
            <v>LFP2238</v>
          </cell>
          <cell r="H1842" t="str">
            <v>Spin-on Oil Filter</v>
          </cell>
        </row>
        <row r="1843">
          <cell r="G1843" t="str">
            <v>AF4017</v>
          </cell>
          <cell r="H1843" t="str">
            <v>Rigid Panel Air Filter</v>
          </cell>
        </row>
        <row r="1844">
          <cell r="G1844" t="str">
            <v>CAF1762</v>
          </cell>
          <cell r="H1844" t="str">
            <v>Cabin Air Filter</v>
          </cell>
        </row>
        <row r="1845">
          <cell r="G1845" t="str">
            <v>L3528F</v>
          </cell>
          <cell r="H1845" t="str">
            <v>Cartridge Fuel Filter</v>
          </cell>
        </row>
        <row r="1846">
          <cell r="G1846" t="str">
            <v>L60F</v>
          </cell>
          <cell r="H1846" t="str">
            <v>Cartridge Fuel Filter</v>
          </cell>
        </row>
        <row r="1847">
          <cell r="G1847" t="str">
            <v>G1033</v>
          </cell>
          <cell r="H1847" t="str">
            <v>In-Line Fuel Filter</v>
          </cell>
        </row>
        <row r="1848">
          <cell r="G1848" t="str">
            <v>LFP2535</v>
          </cell>
          <cell r="H1848" t="str">
            <v>Spin-on Oil Filter</v>
          </cell>
        </row>
        <row r="1849">
          <cell r="G1849" t="str">
            <v>LAF3048</v>
          </cell>
          <cell r="H1849" t="str">
            <v>Round Inner Air Filter with Flanged Endcap</v>
          </cell>
        </row>
        <row r="1850">
          <cell r="G1850" t="str">
            <v>LAF4514</v>
          </cell>
          <cell r="H1850" t="str">
            <v>HD Metal-End Air Filter with Attached Lid</v>
          </cell>
        </row>
        <row r="1851">
          <cell r="G1851" t="str">
            <v>LAF3532</v>
          </cell>
          <cell r="H1851" t="str">
            <v>Radial Seal Outer Air Filter</v>
          </cell>
        </row>
        <row r="1852">
          <cell r="G1852" t="str">
            <v>LAFV140A</v>
          </cell>
          <cell r="H1852" t="str">
            <v>HD Metal-End Air Filter</v>
          </cell>
        </row>
        <row r="1853">
          <cell r="G1853" t="str">
            <v>CAF1713</v>
          </cell>
          <cell r="H1853" t="str">
            <v>Cabin Air Filter</v>
          </cell>
        </row>
        <row r="1854">
          <cell r="G1854" t="str">
            <v>LP135</v>
          </cell>
          <cell r="H1854" t="str">
            <v>Cartridge Oil Filter</v>
          </cell>
        </row>
        <row r="1855">
          <cell r="G1855" t="str">
            <v>LAF1818MXM</v>
          </cell>
          <cell r="H1855" t="str">
            <v>Nano Tech w/Attached boot Air Filter</v>
          </cell>
        </row>
        <row r="1856">
          <cell r="G1856" t="str">
            <v>LH4942</v>
          </cell>
          <cell r="H1856" t="str">
            <v>Cartridge Hydraulic Filter</v>
          </cell>
        </row>
        <row r="1857">
          <cell r="G1857" t="str">
            <v>LAF1907</v>
          </cell>
          <cell r="H1857" t="str">
            <v>Finned Vane Air Filter</v>
          </cell>
        </row>
        <row r="1858">
          <cell r="G1858" t="str">
            <v>LFH8177</v>
          </cell>
          <cell r="H1858" t="str">
            <v>Spin-on Hydraulic Filter</v>
          </cell>
        </row>
        <row r="1859">
          <cell r="G1859" t="str">
            <v>LAF2746</v>
          </cell>
          <cell r="H1859" t="str">
            <v>HD Metal-End Air Filter-Inner</v>
          </cell>
        </row>
        <row r="1860">
          <cell r="G1860" t="str">
            <v>LP5905</v>
          </cell>
          <cell r="H1860" t="str">
            <v>Cartridge Oil Filter</v>
          </cell>
        </row>
        <row r="1861">
          <cell r="G1861" t="str">
            <v>AF3870</v>
          </cell>
          <cell r="H1861" t="str">
            <v>Round Air Filter</v>
          </cell>
        </row>
        <row r="1862">
          <cell r="G1862" t="str">
            <v>AF530</v>
          </cell>
          <cell r="H1862" t="str">
            <v>Round Air Filter</v>
          </cell>
        </row>
        <row r="1863">
          <cell r="G1863" t="str">
            <v>LAF2438</v>
          </cell>
          <cell r="H1863" t="str">
            <v>Tube Type Air Filter</v>
          </cell>
        </row>
        <row r="1864">
          <cell r="G1864" t="str">
            <v>LAF5819</v>
          </cell>
          <cell r="H1864" t="str">
            <v>Rigid Panel Air Filter</v>
          </cell>
        </row>
        <row r="1865">
          <cell r="G1865" t="str">
            <v>LAF879</v>
          </cell>
          <cell r="H1865" t="str">
            <v>HD Metal-End Inner Air Filter</v>
          </cell>
        </row>
        <row r="1866">
          <cell r="G1866" t="str">
            <v>LH4932G</v>
          </cell>
          <cell r="H1866" t="str">
            <v>Cartridge Hydraulic Filter</v>
          </cell>
        </row>
        <row r="1867">
          <cell r="G1867" t="str">
            <v>LH9187</v>
          </cell>
          <cell r="H1867" t="str">
            <v>Cartridge Hydraulic Filter</v>
          </cell>
        </row>
        <row r="1868">
          <cell r="G1868" t="str">
            <v>P1072</v>
          </cell>
          <cell r="H1868" t="str">
            <v>Cartridge Oil Filter</v>
          </cell>
        </row>
        <row r="1869">
          <cell r="G1869" t="str">
            <v>970C</v>
          </cell>
          <cell r="H1869" t="str">
            <v>Industrial Full-flow Unit w/LP970-10 Element Filter</v>
          </cell>
        </row>
        <row r="1870">
          <cell r="G1870" t="str">
            <v>P122</v>
          </cell>
          <cell r="H1870" t="str">
            <v>Cartridge Oil Filter</v>
          </cell>
        </row>
        <row r="1871">
          <cell r="G1871" t="str">
            <v>AF9912</v>
          </cell>
          <cell r="H1871" t="str">
            <v>Flexible Panel Air Filter</v>
          </cell>
        </row>
        <row r="1872">
          <cell r="G1872" t="str">
            <v>CAF1755</v>
          </cell>
          <cell r="H1872" t="str">
            <v>Cabin Air Filter</v>
          </cell>
        </row>
        <row r="1873">
          <cell r="G1873" t="str">
            <v>AF7939</v>
          </cell>
          <cell r="H1873" t="str">
            <v>Flexible Panel Air Filter</v>
          </cell>
        </row>
        <row r="1874">
          <cell r="G1874" t="str">
            <v>CAF1886P</v>
          </cell>
          <cell r="H1874" t="str">
            <v>Cabin Air Filter</v>
          </cell>
        </row>
        <row r="1875">
          <cell r="G1875" t="str">
            <v>PC438</v>
          </cell>
          <cell r="H1875" t="str">
            <v>PCV Valve</v>
          </cell>
        </row>
        <row r="1876">
          <cell r="G1876" t="str">
            <v>T115</v>
          </cell>
          <cell r="H1876" t="str">
            <v>Transmission Filter Kit</v>
          </cell>
        </row>
        <row r="1877">
          <cell r="G1877" t="str">
            <v>AF3195</v>
          </cell>
          <cell r="H1877" t="str">
            <v>Air Filter</v>
          </cell>
        </row>
        <row r="1878">
          <cell r="G1878" t="str">
            <v>AF5239</v>
          </cell>
          <cell r="H1878" t="str">
            <v>Air Filter</v>
          </cell>
        </row>
        <row r="1879">
          <cell r="G1879" t="str">
            <v>CAF1795</v>
          </cell>
          <cell r="H1879" t="str">
            <v>Cabin Air Filter</v>
          </cell>
        </row>
        <row r="1880">
          <cell r="G1880" t="str">
            <v>P996</v>
          </cell>
          <cell r="H1880" t="str">
            <v>Cartridge Oil Filter</v>
          </cell>
        </row>
        <row r="1881">
          <cell r="G1881" t="str">
            <v>LFH4204XL</v>
          </cell>
          <cell r="H1881" t="str">
            <v>Extended Life Hydraulic Spin-on Filter</v>
          </cell>
        </row>
        <row r="1882">
          <cell r="G1882" t="str">
            <v>LP2279</v>
          </cell>
          <cell r="H1882" t="str">
            <v>Cartridge Oil Filter</v>
          </cell>
        </row>
        <row r="1883">
          <cell r="G1883" t="str">
            <v>LFP912</v>
          </cell>
          <cell r="H1883" t="str">
            <v>Spin-on Oil Filter</v>
          </cell>
        </row>
        <row r="1884">
          <cell r="G1884" t="str">
            <v>LAF9726</v>
          </cell>
          <cell r="H1884" t="str">
            <v>HD Metal-End Air Filter</v>
          </cell>
        </row>
        <row r="1885">
          <cell r="G1885" t="str">
            <v>LAF5300</v>
          </cell>
          <cell r="H1885" t="str">
            <v>Cabin Air Filter</v>
          </cell>
        </row>
        <row r="1886">
          <cell r="G1886" t="str">
            <v>CAF1731</v>
          </cell>
          <cell r="H1886" t="str">
            <v>Cabin Air Filter</v>
          </cell>
        </row>
        <row r="1887">
          <cell r="G1887" t="str">
            <v>LAF6966</v>
          </cell>
          <cell r="H1887" t="str">
            <v>HD Metal-End Air Filter</v>
          </cell>
        </row>
        <row r="1888">
          <cell r="G1888" t="str">
            <v>LFH4447</v>
          </cell>
          <cell r="H1888" t="str">
            <v>Spin-on Hydraulic Filter</v>
          </cell>
        </row>
        <row r="1889">
          <cell r="G1889" t="str">
            <v>G16</v>
          </cell>
          <cell r="H1889" t="str">
            <v>In-Line Fuel Filter</v>
          </cell>
        </row>
        <row r="1890">
          <cell r="G1890" t="str">
            <v>AF734</v>
          </cell>
          <cell r="H1890" t="str">
            <v>Round Air Filter</v>
          </cell>
        </row>
        <row r="1891">
          <cell r="G1891" t="str">
            <v>FP887F</v>
          </cell>
          <cell r="H1891" t="str">
            <v>Spin-on Fuel Water Separator Filter</v>
          </cell>
        </row>
        <row r="1892">
          <cell r="G1892" t="str">
            <v>L3539F</v>
          </cell>
          <cell r="H1892" t="str">
            <v>Cartridge Fuel Filter</v>
          </cell>
        </row>
        <row r="1893">
          <cell r="G1893" t="str">
            <v>LAF1227</v>
          </cell>
          <cell r="H1893" t="str">
            <v>HD Metal-End Air Filter</v>
          </cell>
        </row>
        <row r="1894">
          <cell r="G1894" t="str">
            <v>LAF1831</v>
          </cell>
          <cell r="H1894" t="str">
            <v>HD Metal-End Inner Air Filter</v>
          </cell>
        </row>
        <row r="1895">
          <cell r="G1895" t="str">
            <v>LFF8101</v>
          </cell>
          <cell r="H1895" t="str">
            <v>Spin-on Fuel Filter</v>
          </cell>
        </row>
        <row r="1896">
          <cell r="G1896" t="str">
            <v>LFF9006</v>
          </cell>
          <cell r="H1896" t="str">
            <v>Bowl Style Fuel Water Separator Filter</v>
          </cell>
        </row>
        <row r="1897">
          <cell r="G1897" t="str">
            <v>LFH9499</v>
          </cell>
          <cell r="H1897" t="str">
            <v>Spin-on Hydraulic Filter</v>
          </cell>
        </row>
        <row r="1898">
          <cell r="G1898" t="str">
            <v>LFP777G</v>
          </cell>
          <cell r="H1898" t="str">
            <v>Extended Life Spin-on By-Pass Oil Filter</v>
          </cell>
        </row>
        <row r="1899">
          <cell r="G1899" t="str">
            <v>LK303M</v>
          </cell>
          <cell r="H1899" t="str">
            <v>Mack Engine Maintenance Kit</v>
          </cell>
        </row>
        <row r="1900">
          <cell r="G1900" t="str">
            <v>LP560HE</v>
          </cell>
          <cell r="H1900" t="str">
            <v>Cartridge Oil Filter</v>
          </cell>
        </row>
        <row r="1901">
          <cell r="G1901" t="str">
            <v>LAF8212</v>
          </cell>
          <cell r="H1901" t="str">
            <v>Finned Vane Air Filter</v>
          </cell>
        </row>
        <row r="1902">
          <cell r="G1902">
            <v>1142</v>
          </cell>
          <cell r="H1902" t="str">
            <v>Winslow 296G, Gasket used with L1874T</v>
          </cell>
        </row>
        <row r="1903">
          <cell r="G1903" t="str">
            <v>GASKET</v>
          </cell>
          <cell r="H1903" t="str">
            <v>Cover Gasket for Low Temperature Applications/500-C, 750-C, CT, 2C, 3C, 970-C</v>
          </cell>
        </row>
        <row r="1904">
          <cell r="G1904" t="str">
            <v>PC68</v>
          </cell>
          <cell r="H1904" t="str">
            <v>PCV Valve</v>
          </cell>
        </row>
        <row r="1905">
          <cell r="G1905" t="str">
            <v>LFP5760</v>
          </cell>
          <cell r="H1905" t="str">
            <v>Spin-on Oil Filter</v>
          </cell>
        </row>
        <row r="1906">
          <cell r="G1906" t="str">
            <v>LFF3403</v>
          </cell>
          <cell r="H1906" t="str">
            <v>Cartridge Fuel Filter</v>
          </cell>
        </row>
        <row r="1907">
          <cell r="G1907" t="str">
            <v>CAF1804P</v>
          </cell>
          <cell r="H1907" t="str">
            <v>Cabin Air Filter</v>
          </cell>
        </row>
        <row r="1908">
          <cell r="G1908" t="str">
            <v>AF7953</v>
          </cell>
          <cell r="H1908" t="str">
            <v>Rigid Panel Air Filter</v>
          </cell>
        </row>
        <row r="1909">
          <cell r="G1909" t="str">
            <v>LAF8483</v>
          </cell>
          <cell r="H1909" t="str">
            <v>HD Metal-End Air Filter</v>
          </cell>
        </row>
        <row r="1910">
          <cell r="G1910" t="str">
            <v>LFP3871</v>
          </cell>
          <cell r="H1910" t="str">
            <v>Spin-on Oil Filter</v>
          </cell>
        </row>
        <row r="1911">
          <cell r="G1911" t="str">
            <v>LAF3705</v>
          </cell>
          <cell r="H1911" t="str">
            <v>HD Metal-End Air Filter with Attached Lid</v>
          </cell>
        </row>
        <row r="1912">
          <cell r="G1912" t="str">
            <v>G1060</v>
          </cell>
          <cell r="H1912" t="str">
            <v>In-Line Fuel Filter</v>
          </cell>
        </row>
        <row r="1913">
          <cell r="G1913" t="str">
            <v>AF9916</v>
          </cell>
          <cell r="H1913" t="str">
            <v>Air Filter</v>
          </cell>
        </row>
        <row r="1914">
          <cell r="G1914" t="str">
            <v>AF5184</v>
          </cell>
          <cell r="H1914" t="str">
            <v>Rigid Panel Air Filter</v>
          </cell>
        </row>
        <row r="1915">
          <cell r="G1915" t="str">
            <v>CAF1832P</v>
          </cell>
          <cell r="H1915" t="str">
            <v>Cabin Air Filter</v>
          </cell>
        </row>
        <row r="1916">
          <cell r="G1916" t="str">
            <v>AF3954</v>
          </cell>
          <cell r="H1916" t="str">
            <v>Corrugated Media Air Filter</v>
          </cell>
        </row>
        <row r="1917">
          <cell r="G1917" t="str">
            <v>AF5241</v>
          </cell>
          <cell r="H1917" t="str">
            <v>Rigid Panel Air Filter</v>
          </cell>
        </row>
        <row r="1918">
          <cell r="G1918" t="str">
            <v>LAF4497</v>
          </cell>
          <cell r="H1918" t="str">
            <v>Radial Seal Outer Air Filter</v>
          </cell>
        </row>
        <row r="1919">
          <cell r="G1919" t="str">
            <v>P92</v>
          </cell>
          <cell r="H1919" t="str">
            <v>Cartridge Oil Filter</v>
          </cell>
        </row>
        <row r="1920">
          <cell r="G1920" t="str">
            <v>LH22002</v>
          </cell>
          <cell r="H1920" t="str">
            <v>Cartridge Hydraulic Filter</v>
          </cell>
        </row>
        <row r="1921">
          <cell r="G1921" t="str">
            <v>T533</v>
          </cell>
          <cell r="H1921" t="str">
            <v>Transmission Filter Kit</v>
          </cell>
        </row>
        <row r="1922">
          <cell r="G1922" t="str">
            <v>LAF5475</v>
          </cell>
          <cell r="H1922" t="str">
            <v>Radial Seal Inner Air Filter</v>
          </cell>
        </row>
        <row r="1923">
          <cell r="G1923" t="str">
            <v>G779</v>
          </cell>
          <cell r="H1923" t="str">
            <v>Cartridge Fuel Filter</v>
          </cell>
        </row>
        <row r="1924">
          <cell r="G1924" t="str">
            <v>LAF8803</v>
          </cell>
          <cell r="H1924" t="str">
            <v>HD Metal-End Air Filter-Inner</v>
          </cell>
        </row>
        <row r="1925">
          <cell r="G1925" t="str">
            <v>LAF1873</v>
          </cell>
          <cell r="H1925" t="str">
            <v>Flexible Panel Air Filter</v>
          </cell>
        </row>
        <row r="1926">
          <cell r="G1926" t="str">
            <v>LAF1959</v>
          </cell>
          <cell r="H1926" t="str">
            <v>HD Metal-End Air Filter</v>
          </cell>
        </row>
        <row r="1927">
          <cell r="G1927" t="str">
            <v>LAF6101</v>
          </cell>
          <cell r="H1927" t="str">
            <v>Radial Seal Air Filter (Primary)</v>
          </cell>
        </row>
        <row r="1928">
          <cell r="G1928" t="str">
            <v>LAF6108</v>
          </cell>
          <cell r="H1928" t="str">
            <v>HD Metal-End Air Filter</v>
          </cell>
        </row>
        <row r="1929">
          <cell r="G1929" t="str">
            <v>LAF5354</v>
          </cell>
          <cell r="H1929" t="str">
            <v>Radial Seal Air Filter Outer</v>
          </cell>
        </row>
        <row r="1930">
          <cell r="G1930" t="str">
            <v>LH8446</v>
          </cell>
          <cell r="H1930" t="str">
            <v>Cartridge hydraulic filter</v>
          </cell>
        </row>
        <row r="1931">
          <cell r="G1931" t="str">
            <v>LFH4936</v>
          </cell>
          <cell r="H1931" t="str">
            <v>Spin-on Hydraulic Filter</v>
          </cell>
        </row>
        <row r="1932">
          <cell r="G1932" t="str">
            <v>LAF122</v>
          </cell>
          <cell r="H1932" t="str">
            <v>Round Air Filter</v>
          </cell>
        </row>
        <row r="1933">
          <cell r="G1933" t="str">
            <v>P842</v>
          </cell>
          <cell r="H1933" t="str">
            <v>Cartridge Oil Filter</v>
          </cell>
        </row>
        <row r="1934">
          <cell r="G1934" t="str">
            <v>CAF1810P</v>
          </cell>
          <cell r="H1934" t="str">
            <v>Cabin Air Filter</v>
          </cell>
        </row>
        <row r="1935">
          <cell r="G1935" t="str">
            <v>CAF1855P</v>
          </cell>
          <cell r="H1935" t="str">
            <v>Cabin Air Filter</v>
          </cell>
        </row>
        <row r="1936">
          <cell r="G1936" t="str">
            <v>AF7882</v>
          </cell>
          <cell r="H1936" t="str">
            <v>Cone Shaped Conical Air Filter</v>
          </cell>
        </row>
        <row r="1937">
          <cell r="G1937" t="str">
            <v>LFP8507</v>
          </cell>
          <cell r="H1937" t="str">
            <v>Spin-on Oil Filter</v>
          </cell>
        </row>
        <row r="1938">
          <cell r="G1938" t="str">
            <v>AF5218</v>
          </cell>
          <cell r="H1938" t="str">
            <v>Rigid Panel Air Filter</v>
          </cell>
        </row>
        <row r="1939">
          <cell r="G1939" t="str">
            <v>AF2944</v>
          </cell>
          <cell r="H1939" t="str">
            <v>Panel Air Irregular Shaped Filter</v>
          </cell>
        </row>
        <row r="1940">
          <cell r="G1940" t="str">
            <v>LAF1961</v>
          </cell>
          <cell r="H1940" t="str">
            <v>Round Air Filter</v>
          </cell>
        </row>
        <row r="1941">
          <cell r="G1941" t="str">
            <v>LFP2258</v>
          </cell>
          <cell r="H1941" t="str">
            <v>Spin-on Oil Filter</v>
          </cell>
        </row>
        <row r="1942">
          <cell r="G1942" t="str">
            <v>LAF5807</v>
          </cell>
          <cell r="H1942" t="str">
            <v>Disposible Housing Air Filter</v>
          </cell>
        </row>
        <row r="1943">
          <cell r="G1943" t="str">
            <v>T653</v>
          </cell>
          <cell r="H1943" t="str">
            <v>Transmission Filter Kit</v>
          </cell>
        </row>
        <row r="1944">
          <cell r="G1944" t="str">
            <v>LAF1931</v>
          </cell>
          <cell r="H1944" t="str">
            <v>HD Metal-End Inner Air Filter</v>
          </cell>
        </row>
        <row r="1945">
          <cell r="G1945" t="str">
            <v>LAF1823</v>
          </cell>
          <cell r="H1945" t="str">
            <v>HD Metal-End Air Filter-Inner</v>
          </cell>
        </row>
        <row r="1946">
          <cell r="G1946" t="str">
            <v>LAF4360</v>
          </cell>
          <cell r="H1946" t="str">
            <v>Cone Shaped Conical Air Filter</v>
          </cell>
        </row>
        <row r="1947">
          <cell r="G1947" t="str">
            <v>LAF5891</v>
          </cell>
          <cell r="H1947" t="str">
            <v>HD Round Finned Air Filter with Attached Lid</v>
          </cell>
        </row>
        <row r="1948">
          <cell r="G1948" t="str">
            <v>LFH22150</v>
          </cell>
          <cell r="H1948" t="str">
            <v>Spin-on Hydraulic Filter</v>
          </cell>
        </row>
        <row r="1949">
          <cell r="G1949" t="str">
            <v>LH8245</v>
          </cell>
          <cell r="H1949" t="str">
            <v>Cartridge Hydraulic Filter</v>
          </cell>
        </row>
        <row r="1950">
          <cell r="G1950" t="str">
            <v>LH4985</v>
          </cell>
          <cell r="H1950" t="str">
            <v>Cartridge Hydraulic Filter</v>
          </cell>
        </row>
        <row r="1951">
          <cell r="G1951" t="str">
            <v>LP2212</v>
          </cell>
          <cell r="H1951" t="str">
            <v>Cartridge Oil Filter</v>
          </cell>
        </row>
        <row r="1952">
          <cell r="G1952" t="str">
            <v>LAF8973</v>
          </cell>
          <cell r="H1952" t="str">
            <v>Heavy Duty Air Filter With Attached Lid</v>
          </cell>
        </row>
        <row r="1953">
          <cell r="G1953" t="str">
            <v>AF222</v>
          </cell>
          <cell r="H1953" t="str">
            <v>Round Air Filter</v>
          </cell>
        </row>
        <row r="1954">
          <cell r="G1954" t="str">
            <v>AFB1603</v>
          </cell>
          <cell r="H1954" t="str">
            <v>Breather Filter</v>
          </cell>
        </row>
        <row r="1955">
          <cell r="G1955" t="str">
            <v>LAF8778</v>
          </cell>
          <cell r="H1955" t="str">
            <v>Panel Air Filter Metal Framed</v>
          </cell>
        </row>
        <row r="1956">
          <cell r="G1956" t="str">
            <v>T151</v>
          </cell>
          <cell r="H1956" t="str">
            <v>Transmission Filter Kit</v>
          </cell>
        </row>
        <row r="1957">
          <cell r="G1957" t="str">
            <v>LAF9334</v>
          </cell>
          <cell r="H1957" t="str">
            <v>Corrugated Media Air Filter</v>
          </cell>
        </row>
        <row r="1958">
          <cell r="G1958" t="str">
            <v>LAF1455</v>
          </cell>
          <cell r="H1958" t="str">
            <v>Finned Vane Air Filter</v>
          </cell>
        </row>
        <row r="1959">
          <cell r="G1959" t="str">
            <v>AF599</v>
          </cell>
          <cell r="H1959" t="str">
            <v>Round Air Filter</v>
          </cell>
        </row>
        <row r="1960">
          <cell r="G1960" t="str">
            <v>AF824</v>
          </cell>
          <cell r="H1960" t="str">
            <v>Round Air Filter</v>
          </cell>
        </row>
        <row r="1961">
          <cell r="G1961" t="str">
            <v>LAF1456</v>
          </cell>
          <cell r="H1961" t="str">
            <v>HD Metal-End Inner Air Filter</v>
          </cell>
        </row>
        <row r="1962">
          <cell r="G1962" t="str">
            <v>LAF5756</v>
          </cell>
          <cell r="H1962" t="str">
            <v>HD Cabin Air Filter</v>
          </cell>
        </row>
        <row r="1963">
          <cell r="G1963" t="str">
            <v>LAF8770</v>
          </cell>
          <cell r="H1963" t="str">
            <v>Radial Seal Inner Air Filter</v>
          </cell>
        </row>
        <row r="1964">
          <cell r="G1964" t="str">
            <v>LFF8065</v>
          </cell>
          <cell r="H1964" t="str">
            <v>Spin-on Fuel Filter</v>
          </cell>
        </row>
        <row r="1965">
          <cell r="G1965" t="str">
            <v>LH11012V</v>
          </cell>
          <cell r="H1965" t="str">
            <v>Industrial Cartridge Hydraulic Filter</v>
          </cell>
        </row>
        <row r="1966">
          <cell r="G1966" t="str">
            <v>750CT</v>
          </cell>
          <cell r="H1966" t="str">
            <v>Unit Universal Mount 750-CT</v>
          </cell>
        </row>
        <row r="1967">
          <cell r="G1967" t="str">
            <v>G6365</v>
          </cell>
          <cell r="H1967" t="str">
            <v>In-Line Fuel Filter</v>
          </cell>
        </row>
        <row r="1968">
          <cell r="G1968" t="str">
            <v>AF4067</v>
          </cell>
          <cell r="H1968" t="str">
            <v>Rigid Panel Air Filter</v>
          </cell>
        </row>
        <row r="1969">
          <cell r="G1969" t="str">
            <v>AF7938</v>
          </cell>
          <cell r="H1969" t="str">
            <v>Rigid Panel Air Filter</v>
          </cell>
        </row>
        <row r="1970">
          <cell r="G1970" t="str">
            <v>CAF1874P</v>
          </cell>
          <cell r="H1970" t="str">
            <v>Cabin Air Filter</v>
          </cell>
        </row>
        <row r="1971">
          <cell r="G1971" t="str">
            <v>LP4736</v>
          </cell>
          <cell r="H1971" t="str">
            <v>Cartridge Hydraulic Filter</v>
          </cell>
        </row>
        <row r="1972">
          <cell r="G1972" t="str">
            <v>LAF203</v>
          </cell>
          <cell r="H1972" t="str">
            <v>HD Metal-End Air Filter</v>
          </cell>
        </row>
        <row r="1973">
          <cell r="G1973" t="str">
            <v>LFP5954</v>
          </cell>
          <cell r="H1973" t="str">
            <v>Spin-on Oil Filter</v>
          </cell>
        </row>
        <row r="1974">
          <cell r="G1974" t="str">
            <v>CAF1782</v>
          </cell>
          <cell r="H1974" t="str">
            <v>Cabin Air Filter</v>
          </cell>
        </row>
        <row r="1975">
          <cell r="G1975" t="str">
            <v>CAF1865P</v>
          </cell>
          <cell r="H1975" t="str">
            <v>Cabin Air Filter</v>
          </cell>
        </row>
        <row r="1976">
          <cell r="G1976" t="str">
            <v>CAF7733</v>
          </cell>
          <cell r="H1976" t="str">
            <v>Cabin Air Filter (Carbon)</v>
          </cell>
        </row>
        <row r="1977">
          <cell r="G1977" t="str">
            <v>LFP2430</v>
          </cell>
          <cell r="H1977" t="str">
            <v>Spin-on Oil Filter</v>
          </cell>
        </row>
        <row r="1978">
          <cell r="G1978" t="str">
            <v>LP2210</v>
          </cell>
          <cell r="H1978" t="str">
            <v>Cartridge Oil Filter</v>
          </cell>
        </row>
        <row r="1979">
          <cell r="G1979" t="str">
            <v>LAF1965</v>
          </cell>
          <cell r="H1979" t="str">
            <v>Finned Vane Air Filter</v>
          </cell>
        </row>
        <row r="1980">
          <cell r="G1980" t="str">
            <v>AF7993</v>
          </cell>
          <cell r="H1980" t="str">
            <v>Flexible Panel Air Filter</v>
          </cell>
        </row>
        <row r="1981">
          <cell r="G1981" t="str">
            <v>T620</v>
          </cell>
          <cell r="H1981" t="str">
            <v>Transmission Filter Kit</v>
          </cell>
        </row>
        <row r="1982">
          <cell r="G1982" t="str">
            <v>LH11000</v>
          </cell>
          <cell r="H1982" t="str">
            <v>Industrial Cartridge Hydraulic Filter</v>
          </cell>
        </row>
        <row r="1983">
          <cell r="G1983" t="str">
            <v>LAF4132</v>
          </cell>
          <cell r="H1983" t="str">
            <v>Disposible Housing Air Filter</v>
          </cell>
        </row>
        <row r="1984">
          <cell r="G1984" t="str">
            <v>T626</v>
          </cell>
          <cell r="H1984" t="str">
            <v>Transmission Filter Kit</v>
          </cell>
        </row>
        <row r="1985">
          <cell r="G1985" t="str">
            <v>T231</v>
          </cell>
          <cell r="H1985" t="str">
            <v>Transmission Filter Kit</v>
          </cell>
        </row>
        <row r="1986">
          <cell r="G1986" t="str">
            <v>LAF8513</v>
          </cell>
          <cell r="H1986" t="str">
            <v>HD Metal-End Inner Air Filter</v>
          </cell>
        </row>
        <row r="1987">
          <cell r="G1987" t="str">
            <v>G489</v>
          </cell>
          <cell r="H1987" t="str">
            <v>In-Line Fuel Filter</v>
          </cell>
        </row>
        <row r="1988">
          <cell r="G1988" t="str">
            <v>LAF1484</v>
          </cell>
          <cell r="H1988" t="str">
            <v>Panel Air Filter Irregular Shaped</v>
          </cell>
        </row>
        <row r="1989">
          <cell r="G1989" t="str">
            <v>LAF5749</v>
          </cell>
          <cell r="H1989" t="str">
            <v>Radial Seal Inner Air Filter (Europe Only)</v>
          </cell>
        </row>
        <row r="1990">
          <cell r="G1990" t="str">
            <v>LAF5054A</v>
          </cell>
          <cell r="H1990" t="str">
            <v>Finned Vane Air Filter</v>
          </cell>
        </row>
        <row r="1991">
          <cell r="G1991" t="str">
            <v>LAF8477</v>
          </cell>
          <cell r="H1991" t="str">
            <v>Disposible Housing Air Filter</v>
          </cell>
        </row>
        <row r="1992">
          <cell r="G1992" t="str">
            <v>P1034</v>
          </cell>
          <cell r="H1992" t="str">
            <v>Cartridge Oil Filter</v>
          </cell>
        </row>
        <row r="1993">
          <cell r="G1993" t="str">
            <v>P978</v>
          </cell>
          <cell r="H1993" t="str">
            <v>Cartridge Oil Filter</v>
          </cell>
        </row>
        <row r="1994">
          <cell r="G1994" t="str">
            <v>AF7958</v>
          </cell>
          <cell r="H1994" t="str">
            <v>Rigid Panel Air Filter</v>
          </cell>
        </row>
        <row r="1995">
          <cell r="G1995" t="str">
            <v>AF2441</v>
          </cell>
          <cell r="H1995" t="str">
            <v>Rigid Panel Air Filter</v>
          </cell>
        </row>
        <row r="1996">
          <cell r="G1996" t="str">
            <v>PC203</v>
          </cell>
          <cell r="H1996" t="str">
            <v>PCV Valve</v>
          </cell>
        </row>
        <row r="1997">
          <cell r="G1997" t="str">
            <v>LAF1921</v>
          </cell>
          <cell r="H1997" t="str">
            <v xml:space="preserve">Radial Seal Air Filter </v>
          </cell>
        </row>
        <row r="1998">
          <cell r="G1998" t="str">
            <v>CAF1842P</v>
          </cell>
          <cell r="H1998" t="str">
            <v>Cabin Air Filter</v>
          </cell>
        </row>
        <row r="1999">
          <cell r="G1999" t="str">
            <v>AF7942</v>
          </cell>
          <cell r="H1999" t="str">
            <v>Panel Air Irregular Shaped Filter</v>
          </cell>
        </row>
        <row r="2000">
          <cell r="G2000" t="str">
            <v>LP2220</v>
          </cell>
          <cell r="H2000" t="str">
            <v>Cartridge Oil Filter</v>
          </cell>
        </row>
        <row r="2001">
          <cell r="G2001" t="str">
            <v>LAF2515</v>
          </cell>
          <cell r="H2001" t="str">
            <v>HD Metal-End Air Filter</v>
          </cell>
        </row>
        <row r="2002">
          <cell r="G2002" t="str">
            <v>AF602</v>
          </cell>
          <cell r="H2002" t="str">
            <v>Flexible Panel Air Filter</v>
          </cell>
        </row>
        <row r="2003">
          <cell r="G2003" t="str">
            <v>AF7033</v>
          </cell>
          <cell r="H2003" t="str">
            <v xml:space="preserve">Flexible Panel Air Filter with Attached Foam Pad </v>
          </cell>
        </row>
        <row r="2004">
          <cell r="G2004" t="str">
            <v>LAF6860</v>
          </cell>
          <cell r="H2004" t="str">
            <v>HD Metal-End Air Filter</v>
          </cell>
        </row>
        <row r="2005">
          <cell r="G2005" t="str">
            <v>LAF1963</v>
          </cell>
          <cell r="H2005" t="str">
            <v>Round Inner Air Filter with Flanged Endcap</v>
          </cell>
        </row>
        <row r="2006">
          <cell r="G2006" t="str">
            <v>LFH5937</v>
          </cell>
          <cell r="H2006" t="str">
            <v>Spin-on Hydraulic Filter</v>
          </cell>
        </row>
        <row r="2007">
          <cell r="G2007" t="str">
            <v>LAF9909</v>
          </cell>
          <cell r="H2007" t="str">
            <v>HD Metal-End Air Filter</v>
          </cell>
        </row>
        <row r="2008">
          <cell r="G2008" t="str">
            <v>LH4931</v>
          </cell>
          <cell r="H2008" t="str">
            <v>Cartridge Hydraulic Filter</v>
          </cell>
        </row>
        <row r="2009">
          <cell r="G2009" t="str">
            <v>LAF512</v>
          </cell>
          <cell r="H2009" t="str">
            <v>Rigid Panel Air Filter</v>
          </cell>
        </row>
        <row r="2010">
          <cell r="G2010" t="str">
            <v>LAF8548</v>
          </cell>
          <cell r="H2010" t="str">
            <v>HD Metal-End Air Filter</v>
          </cell>
        </row>
        <row r="2011">
          <cell r="G2011" t="str">
            <v>LFP2285G</v>
          </cell>
          <cell r="H2011" t="str">
            <v>Extended Life Spin-on Oil Filter</v>
          </cell>
        </row>
        <row r="2012">
          <cell r="G2012" t="str">
            <v>PC327</v>
          </cell>
          <cell r="H2012" t="str">
            <v>PCV Valve</v>
          </cell>
        </row>
        <row r="2013">
          <cell r="G2013" t="str">
            <v>LAF3730</v>
          </cell>
          <cell r="H2013" t="str">
            <v>Finned Vane Air Filter</v>
          </cell>
        </row>
        <row r="2014">
          <cell r="G2014" t="str">
            <v>LAF4364</v>
          </cell>
          <cell r="H2014" t="str">
            <v>Foam Cabin Air Filter</v>
          </cell>
        </row>
        <row r="2015">
          <cell r="G2015" t="str">
            <v>LAF8783</v>
          </cell>
          <cell r="H2015" t="str">
            <v>Cabin Air Filter</v>
          </cell>
        </row>
        <row r="2016">
          <cell r="G2016" t="str">
            <v>LH3879</v>
          </cell>
          <cell r="H2016" t="str">
            <v>Cartridge Hydraulic Filter</v>
          </cell>
        </row>
        <row r="2017">
          <cell r="G2017" t="str">
            <v>LAF3533</v>
          </cell>
          <cell r="H2017" t="str">
            <v>Radial Seal Inner Air Filter</v>
          </cell>
        </row>
        <row r="2018">
          <cell r="G2018" t="str">
            <v>G470</v>
          </cell>
          <cell r="H2018" t="str">
            <v>In-Line Fuel Filter</v>
          </cell>
        </row>
        <row r="2019">
          <cell r="G2019" t="str">
            <v>LAF712</v>
          </cell>
          <cell r="H2019" t="str">
            <v>Finned Vane Air Filter</v>
          </cell>
        </row>
        <row r="2020">
          <cell r="G2020" t="str">
            <v>LAF7455</v>
          </cell>
          <cell r="H2020" t="str">
            <v>Disposible Housing Air Filter</v>
          </cell>
        </row>
        <row r="2021">
          <cell r="G2021" t="str">
            <v>LAF1616</v>
          </cell>
          <cell r="H2021" t="str">
            <v>Tube Type Air Filter</v>
          </cell>
        </row>
        <row r="2022">
          <cell r="G2022" t="str">
            <v>LH5931</v>
          </cell>
          <cell r="H2022" t="str">
            <v>Cartridge Hydraulic Filter</v>
          </cell>
        </row>
        <row r="2023">
          <cell r="G2023" t="str">
            <v>LAF1756</v>
          </cell>
          <cell r="H2023" t="str">
            <v>HD Round Air Filter with Attached Boot</v>
          </cell>
        </row>
        <row r="2024">
          <cell r="G2024" t="str">
            <v>LAF727</v>
          </cell>
          <cell r="H2024" t="str">
            <v>HD Metal-End Inner Air Filter</v>
          </cell>
        </row>
        <row r="2025">
          <cell r="G2025" t="str">
            <v>LFH4957</v>
          </cell>
          <cell r="H2025" t="str">
            <v>Spin-on Hydraulic Filter</v>
          </cell>
        </row>
        <row r="2026">
          <cell r="G2026" t="str">
            <v>LH4596</v>
          </cell>
          <cell r="H2026" t="str">
            <v>Cartridge Hydraulic Filter</v>
          </cell>
        </row>
        <row r="2027">
          <cell r="G2027" t="str">
            <v>CAF24010XL</v>
          </cell>
          <cell r="H2027" t="str">
            <v>Cabin Air Filter (Carbon) Extreme Clean</v>
          </cell>
        </row>
        <row r="2028">
          <cell r="G2028" t="str">
            <v>L1149F</v>
          </cell>
          <cell r="H2028" t="str">
            <v>Cartridge Fuel Filter</v>
          </cell>
        </row>
        <row r="2029">
          <cell r="G2029" t="str">
            <v>L8512F</v>
          </cell>
          <cell r="H2029" t="str">
            <v>Snap-Lock Fuel Filter</v>
          </cell>
        </row>
        <row r="2030">
          <cell r="G2030" t="str">
            <v>LH8781</v>
          </cell>
          <cell r="H2030" t="str">
            <v>Cartridge Hydraulic Filter</v>
          </cell>
        </row>
        <row r="2031">
          <cell r="G2031" t="str">
            <v>LH7528</v>
          </cell>
          <cell r="H2031" t="str">
            <v>Cartridge Power Steering (Hydraulic) Filter</v>
          </cell>
        </row>
        <row r="2032">
          <cell r="G2032" t="str">
            <v>CAF7759</v>
          </cell>
          <cell r="H2032" t="str">
            <v>Cabin Air Filter (Carbon)</v>
          </cell>
        </row>
        <row r="2033">
          <cell r="G2033" t="str">
            <v>L664F</v>
          </cell>
          <cell r="H2033" t="str">
            <v>Cartridge Fuel Filter</v>
          </cell>
        </row>
        <row r="2034">
          <cell r="G2034">
            <v>200</v>
          </cell>
          <cell r="H2034" t="str">
            <v>Microcell-Hydropack/200-S Filter</v>
          </cell>
        </row>
        <row r="2035">
          <cell r="G2035" t="str">
            <v>LFP8925</v>
          </cell>
          <cell r="H2035" t="str">
            <v>Spin-on Oil Filter</v>
          </cell>
        </row>
        <row r="2036">
          <cell r="G2036" t="str">
            <v>AF116</v>
          </cell>
          <cell r="H2036" t="str">
            <v>Round Air Filter</v>
          </cell>
        </row>
        <row r="2037">
          <cell r="G2037" t="str">
            <v>LFF4036A</v>
          </cell>
          <cell r="H2037" t="str">
            <v>Spin-on Fuel Filter</v>
          </cell>
        </row>
        <row r="2038">
          <cell r="G2038" t="str">
            <v>AF8902</v>
          </cell>
          <cell r="H2038" t="str">
            <v>Rigid Panel Air Filter</v>
          </cell>
        </row>
        <row r="2039">
          <cell r="G2039" t="str">
            <v>PC231</v>
          </cell>
          <cell r="H2039" t="str">
            <v>PCV Valve</v>
          </cell>
        </row>
        <row r="2040">
          <cell r="G2040" t="str">
            <v>LAF8043</v>
          </cell>
          <cell r="H2040" t="str">
            <v>Cone Shaped Conical Air Filter</v>
          </cell>
        </row>
        <row r="2041">
          <cell r="G2041" t="str">
            <v>LH9407</v>
          </cell>
          <cell r="H2041" t="str">
            <v>Cartridge Hydraulic Filter</v>
          </cell>
        </row>
        <row r="2042">
          <cell r="G2042" t="str">
            <v>AF132</v>
          </cell>
          <cell r="H2042" t="str">
            <v>Round Air Filter</v>
          </cell>
        </row>
        <row r="2043">
          <cell r="G2043" t="str">
            <v>AF5248</v>
          </cell>
          <cell r="H2043" t="str">
            <v>Air Filter</v>
          </cell>
        </row>
        <row r="2044">
          <cell r="G2044" t="str">
            <v>G2932</v>
          </cell>
          <cell r="H2044" t="str">
            <v>In-Line Fuel Filter</v>
          </cell>
        </row>
        <row r="2045">
          <cell r="G2045" t="str">
            <v>CAF1834P</v>
          </cell>
          <cell r="H2045" t="str">
            <v>Cabin Air Filter</v>
          </cell>
        </row>
        <row r="2046">
          <cell r="G2046" t="str">
            <v>CAF1871P</v>
          </cell>
          <cell r="H2046" t="str">
            <v>Cabin Air Filter</v>
          </cell>
        </row>
        <row r="2047">
          <cell r="G2047" t="str">
            <v>AF7879</v>
          </cell>
          <cell r="H2047" t="str">
            <v>Flexible Panel Air Filter</v>
          </cell>
        </row>
        <row r="2048">
          <cell r="G2048" t="str">
            <v>AF3991</v>
          </cell>
          <cell r="H2048" t="str">
            <v>Rigid Panel Air Filter</v>
          </cell>
        </row>
        <row r="2049">
          <cell r="G2049" t="str">
            <v>P114</v>
          </cell>
          <cell r="H2049" t="str">
            <v>Cartridge Oil Filter</v>
          </cell>
        </row>
        <row r="2050">
          <cell r="G2050" t="str">
            <v>LFF5740</v>
          </cell>
          <cell r="H2050" t="str">
            <v>Spin-on Fuel Water Separator Filter</v>
          </cell>
        </row>
        <row r="2051">
          <cell r="G2051" t="str">
            <v>LAF1780</v>
          </cell>
          <cell r="H2051" t="str">
            <v>HD Metal-End Inner Air Filter</v>
          </cell>
        </row>
        <row r="2052">
          <cell r="G2052" t="str">
            <v>G6595</v>
          </cell>
          <cell r="H2052" t="str">
            <v>In-Line Fuel Filter</v>
          </cell>
        </row>
        <row r="2053">
          <cell r="G2053" t="str">
            <v>AF9918</v>
          </cell>
          <cell r="H2053" t="str">
            <v>Air Filter</v>
          </cell>
        </row>
        <row r="2054">
          <cell r="G2054" t="str">
            <v>LAF4040</v>
          </cell>
          <cell r="H2054" t="str">
            <v>Tube Type Air Filter</v>
          </cell>
        </row>
        <row r="2055">
          <cell r="G2055" t="str">
            <v>LAF702</v>
          </cell>
          <cell r="H2055" t="str">
            <v>HD Metal-End Air Filter</v>
          </cell>
        </row>
        <row r="2056">
          <cell r="G2056" t="str">
            <v>LAF1735</v>
          </cell>
          <cell r="H2056" t="str">
            <v>HD Metal-End Air Filter-Inner</v>
          </cell>
        </row>
        <row r="2057">
          <cell r="G2057" t="str">
            <v>LAF5452</v>
          </cell>
          <cell r="H2057" t="str">
            <v>HD Metal-End Air Filter</v>
          </cell>
        </row>
        <row r="2058">
          <cell r="G2058" t="str">
            <v>LFH1700</v>
          </cell>
          <cell r="H2058" t="str">
            <v>Spin-on Hydraulic Filter</v>
          </cell>
        </row>
        <row r="2059">
          <cell r="G2059" t="str">
            <v>LFF8050</v>
          </cell>
          <cell r="H2059" t="str">
            <v>Spin-on Fuel Water Separator Filter</v>
          </cell>
        </row>
        <row r="2060">
          <cell r="G2060" t="str">
            <v>LAF8821</v>
          </cell>
          <cell r="H2060" t="str">
            <v>HD Metal-End Air Filter</v>
          </cell>
        </row>
        <row r="2061">
          <cell r="G2061" t="str">
            <v>LAF5228</v>
          </cell>
          <cell r="H2061" t="str">
            <v>HD Round Air Filter with Attached Boot</v>
          </cell>
        </row>
        <row r="2062">
          <cell r="G2062" t="str">
            <v>LAF22</v>
          </cell>
          <cell r="H2062" t="str">
            <v>Round Air Filter with Foam Wrap</v>
          </cell>
        </row>
        <row r="2063">
          <cell r="G2063" t="str">
            <v>LAF8561</v>
          </cell>
          <cell r="H2063" t="str">
            <v>Finned Vane Air Filter</v>
          </cell>
        </row>
        <row r="2064">
          <cell r="G2064" t="str">
            <v>LAF8804</v>
          </cell>
          <cell r="H2064" t="str">
            <v>HD Round Finned Air Filter with Attached Lid</v>
          </cell>
        </row>
        <row r="2065">
          <cell r="G2065" t="str">
            <v>LAF1986</v>
          </cell>
          <cell r="H2065" t="str">
            <v>HD Metal-End Air Filter</v>
          </cell>
        </row>
        <row r="2066">
          <cell r="G2066" t="str">
            <v>T222</v>
          </cell>
          <cell r="H2066" t="str">
            <v>Transmission Filter Kit</v>
          </cell>
        </row>
        <row r="2067">
          <cell r="G2067" t="str">
            <v>AF7838</v>
          </cell>
          <cell r="H2067" t="str">
            <v>Rigid Panel Air Filter</v>
          </cell>
        </row>
        <row r="2068">
          <cell r="G2068" t="str">
            <v>LFH8173</v>
          </cell>
          <cell r="H2068" t="str">
            <v>Spin-on Hydraulic Filter</v>
          </cell>
        </row>
        <row r="2069">
          <cell r="G2069" t="str">
            <v>LH4465</v>
          </cell>
          <cell r="H2069" t="str">
            <v>Cartridge Hydraulic Filter</v>
          </cell>
        </row>
        <row r="2070">
          <cell r="G2070" t="str">
            <v>G490</v>
          </cell>
          <cell r="H2070" t="str">
            <v>Fuel Filter</v>
          </cell>
        </row>
        <row r="2071">
          <cell r="G2071" t="str">
            <v>G6643</v>
          </cell>
          <cell r="H2071" t="str">
            <v>In-Line Fuel Filter</v>
          </cell>
        </row>
        <row r="2072">
          <cell r="G2072" t="str">
            <v>PC175</v>
          </cell>
          <cell r="H2072" t="str">
            <v>PCV Valve</v>
          </cell>
        </row>
        <row r="2073">
          <cell r="G2073">
            <v>200</v>
          </cell>
          <cell r="H2073" t="str">
            <v>Refining Pak, LF model 200-filtering non-detergent, straight mineral oil, hydraulic fluids, fuel oils, etc.</v>
          </cell>
        </row>
        <row r="2074">
          <cell r="G2074">
            <v>500</v>
          </cell>
          <cell r="H2074" t="str">
            <v>Cover w/1 Plug Hole, 500-C, 750-2C</v>
          </cell>
        </row>
        <row r="2075">
          <cell r="G2075" t="str">
            <v>G6570</v>
          </cell>
          <cell r="H2075" t="str">
            <v>In-Line Fuel Filter</v>
          </cell>
        </row>
        <row r="2076">
          <cell r="G2076" t="str">
            <v>LFF8933</v>
          </cell>
          <cell r="H2076" t="str">
            <v>Spin-on Fuel Filter</v>
          </cell>
        </row>
        <row r="2077">
          <cell r="G2077" t="str">
            <v>AF3974</v>
          </cell>
          <cell r="H2077" t="str">
            <v>Rigid Panel Air Filter</v>
          </cell>
        </row>
        <row r="2078">
          <cell r="G2078" t="str">
            <v>CAF1758</v>
          </cell>
          <cell r="H2078" t="str">
            <v>Cabin Air Filter</v>
          </cell>
        </row>
        <row r="2079">
          <cell r="G2079" t="str">
            <v>CAF1918P</v>
          </cell>
          <cell r="H2079" t="str">
            <v>Cabin Air Filter</v>
          </cell>
        </row>
        <row r="2080">
          <cell r="G2080" t="str">
            <v>P964</v>
          </cell>
          <cell r="H2080" t="str">
            <v>Cartridge Oil Filter</v>
          </cell>
        </row>
        <row r="2081">
          <cell r="G2081" t="str">
            <v>CAF1742</v>
          </cell>
          <cell r="H2081" t="str">
            <v>Cabin Air Filter</v>
          </cell>
        </row>
        <row r="2082">
          <cell r="G2082" t="str">
            <v>CAF1770</v>
          </cell>
          <cell r="H2082" t="str">
            <v>Cabin Air Filter</v>
          </cell>
        </row>
        <row r="2083">
          <cell r="G2083" t="str">
            <v>P847</v>
          </cell>
          <cell r="H2083" t="str">
            <v>Cartridge Oil Filter</v>
          </cell>
        </row>
        <row r="2084">
          <cell r="G2084" t="str">
            <v>AF5219</v>
          </cell>
          <cell r="H2084" t="str">
            <v>Flexible Panel Air Filter</v>
          </cell>
        </row>
        <row r="2085">
          <cell r="G2085" t="str">
            <v>AF3054</v>
          </cell>
          <cell r="H2085" t="str">
            <v>Flexible Panel Air Filter</v>
          </cell>
        </row>
        <row r="2086">
          <cell r="G2086" t="str">
            <v>P929</v>
          </cell>
          <cell r="H2086" t="str">
            <v>Cartridge Oil Filter</v>
          </cell>
        </row>
        <row r="2087">
          <cell r="G2087" t="str">
            <v>P962</v>
          </cell>
          <cell r="H2087" t="str">
            <v>Cartridge Oil Filter</v>
          </cell>
        </row>
        <row r="2088">
          <cell r="G2088" t="str">
            <v>PH6714</v>
          </cell>
          <cell r="H2088" t="str">
            <v>Spin-on Oil Filter</v>
          </cell>
        </row>
        <row r="2089">
          <cell r="G2089" t="str">
            <v>AF5240</v>
          </cell>
          <cell r="H2089" t="str">
            <v>Air Filter</v>
          </cell>
        </row>
        <row r="2090">
          <cell r="G2090" t="str">
            <v>PH2008</v>
          </cell>
          <cell r="H2090" t="str">
            <v>Spin-on Oil Filter</v>
          </cell>
        </row>
        <row r="2091">
          <cell r="G2091" t="str">
            <v>CAF1739</v>
          </cell>
          <cell r="H2091" t="str">
            <v>Cabin Air Filter</v>
          </cell>
        </row>
        <row r="2092">
          <cell r="G2092" t="str">
            <v>AF135</v>
          </cell>
          <cell r="H2092" t="str">
            <v>Round Air Filter</v>
          </cell>
        </row>
        <row r="2093">
          <cell r="G2093" t="str">
            <v>P1015</v>
          </cell>
          <cell r="H2093" t="str">
            <v>Cartridge Oil Filter</v>
          </cell>
        </row>
        <row r="2094">
          <cell r="G2094" t="str">
            <v>AF5247</v>
          </cell>
          <cell r="H2094" t="str">
            <v>Air Filter</v>
          </cell>
        </row>
        <row r="2095">
          <cell r="G2095" t="str">
            <v>AF3220</v>
          </cell>
          <cell r="H2095" t="str">
            <v>Flexible Panel Air Filter</v>
          </cell>
        </row>
        <row r="2096">
          <cell r="G2096" t="str">
            <v>LFF6338</v>
          </cell>
          <cell r="H2096" t="str">
            <v>Spin-on Fuel Water Separator Filter</v>
          </cell>
        </row>
        <row r="2097">
          <cell r="G2097" t="str">
            <v>AF7828</v>
          </cell>
          <cell r="H2097" t="str">
            <v>Rigid Panel Air Filter</v>
          </cell>
        </row>
        <row r="2098">
          <cell r="G2098" t="str">
            <v>L3575F</v>
          </cell>
          <cell r="H2098" t="str">
            <v>Cartridge Fuel Filter</v>
          </cell>
        </row>
        <row r="2099">
          <cell r="G2099" t="str">
            <v>T657</v>
          </cell>
          <cell r="H2099" t="str">
            <v>Transmission Filter Kit</v>
          </cell>
        </row>
        <row r="2100">
          <cell r="G2100" t="str">
            <v>LFH4212</v>
          </cell>
          <cell r="H2100" t="str">
            <v>Spin-on Hydraulic Filter</v>
          </cell>
        </row>
        <row r="2101">
          <cell r="G2101" t="str">
            <v>LH4594</v>
          </cell>
          <cell r="H2101" t="str">
            <v>Cartridge Hydraulic Filter</v>
          </cell>
        </row>
        <row r="2102">
          <cell r="G2102" t="str">
            <v>CAF1804C</v>
          </cell>
          <cell r="H2102" t="str">
            <v>Cabin Air Filter (Carbon)</v>
          </cell>
        </row>
        <row r="2103">
          <cell r="G2103" t="str">
            <v>LAF240</v>
          </cell>
          <cell r="H2103" t="str">
            <v>HD Metal-End Air Filter</v>
          </cell>
        </row>
        <row r="2104">
          <cell r="G2104" t="str">
            <v>LAF1727</v>
          </cell>
          <cell r="H2104" t="str">
            <v>Round Inner Air Filter</v>
          </cell>
        </row>
        <row r="2105">
          <cell r="G2105" t="str">
            <v>PC324</v>
          </cell>
          <cell r="H2105" t="str">
            <v>PCV Valve</v>
          </cell>
        </row>
        <row r="2106">
          <cell r="G2106" t="str">
            <v>LP468</v>
          </cell>
          <cell r="H2106" t="str">
            <v>Cartridge Hydraulic Filter</v>
          </cell>
        </row>
        <row r="2107">
          <cell r="G2107" t="str">
            <v>LFP2301</v>
          </cell>
          <cell r="H2107" t="str">
            <v>Spin-on Oil Filter</v>
          </cell>
        </row>
        <row r="2108">
          <cell r="G2108" t="str">
            <v>T164</v>
          </cell>
          <cell r="H2108" t="str">
            <v>Transmission Filter Kit</v>
          </cell>
        </row>
        <row r="2109">
          <cell r="G2109" t="str">
            <v>LAF3701</v>
          </cell>
          <cell r="H2109" t="str">
            <v>Disposible Housing Air Filter</v>
          </cell>
        </row>
        <row r="2110">
          <cell r="G2110" t="str">
            <v>P4</v>
          </cell>
          <cell r="H2110" t="str">
            <v>Cartridge Oil Filter</v>
          </cell>
        </row>
        <row r="2111">
          <cell r="G2111" t="str">
            <v>LAF1888</v>
          </cell>
          <cell r="H2111" t="str">
            <v>HD Metal-End Air Filter</v>
          </cell>
        </row>
        <row r="2112">
          <cell r="G2112" t="str">
            <v>G6636</v>
          </cell>
          <cell r="H2112" t="str">
            <v>In-Line Fuel Filter</v>
          </cell>
        </row>
        <row r="2113">
          <cell r="G2113" t="str">
            <v>AF4006</v>
          </cell>
          <cell r="H2113" t="str">
            <v>Rigid Panel Air Filter</v>
          </cell>
        </row>
        <row r="2114">
          <cell r="G2114" t="str">
            <v>G476</v>
          </cell>
          <cell r="H2114" t="str">
            <v>In-Line Fuel Filter</v>
          </cell>
        </row>
        <row r="2115">
          <cell r="G2115" t="str">
            <v>LFH8192</v>
          </cell>
          <cell r="H2115" t="str">
            <v>Spin-on Hydraulic Filter</v>
          </cell>
        </row>
        <row r="2116">
          <cell r="G2116" t="str">
            <v>L3973F</v>
          </cell>
          <cell r="H2116" t="str">
            <v>In-Line Fuel Filter</v>
          </cell>
        </row>
        <row r="2117">
          <cell r="G2117" t="str">
            <v>LAF6401</v>
          </cell>
          <cell r="H2117" t="str">
            <v>HD Metal-End Air Filter-Inner</v>
          </cell>
        </row>
        <row r="2118">
          <cell r="G2118" t="str">
            <v>LAF8211</v>
          </cell>
          <cell r="H2118" t="str">
            <v>HD Metal-End Air Filter</v>
          </cell>
        </row>
        <row r="2119">
          <cell r="G2119" t="str">
            <v>T713</v>
          </cell>
          <cell r="H2119" t="str">
            <v>Transmission Filter Kit</v>
          </cell>
        </row>
        <row r="2120">
          <cell r="G2120" t="str">
            <v>LAF8157</v>
          </cell>
          <cell r="H2120" t="str">
            <v>Finned Vane Air Filter</v>
          </cell>
        </row>
        <row r="2121">
          <cell r="G2121" t="str">
            <v>G991</v>
          </cell>
          <cell r="H2121" t="str">
            <v>In-Line Fuel Filter</v>
          </cell>
        </row>
        <row r="2122">
          <cell r="G2122" t="str">
            <v>LAF7414</v>
          </cell>
          <cell r="H2122" t="str">
            <v>HD Metal-End Inner Air Filter</v>
          </cell>
        </row>
        <row r="2123">
          <cell r="G2123" t="str">
            <v>PC245</v>
          </cell>
          <cell r="H2123" t="str">
            <v>PCV Valve</v>
          </cell>
        </row>
        <row r="2124">
          <cell r="G2124" t="str">
            <v>T666</v>
          </cell>
          <cell r="H2124" t="str">
            <v>Transmission Filter Kit</v>
          </cell>
        </row>
        <row r="2125">
          <cell r="G2125" t="str">
            <v>AF279</v>
          </cell>
          <cell r="H2125" t="str">
            <v>Flexible Panel Air Filter</v>
          </cell>
        </row>
        <row r="2126">
          <cell r="G2126" t="str">
            <v>LH4256</v>
          </cell>
          <cell r="H2126" t="str">
            <v>Cartridge Hydraulic Filter</v>
          </cell>
        </row>
        <row r="2127">
          <cell r="G2127" t="str">
            <v>LH9309V</v>
          </cell>
          <cell r="H2127" t="str">
            <v>Cartridge Hydraulic Filter</v>
          </cell>
        </row>
        <row r="2128">
          <cell r="G2128" t="str">
            <v>LAF1771</v>
          </cell>
          <cell r="H2128" t="str">
            <v>Panel Air Filter Metal Framed</v>
          </cell>
        </row>
        <row r="2129">
          <cell r="G2129" t="str">
            <v>G2904</v>
          </cell>
          <cell r="H2129" t="str">
            <v>In-Line Fuel Filter</v>
          </cell>
        </row>
        <row r="2130">
          <cell r="G2130" t="str">
            <v>L3420F</v>
          </cell>
          <cell r="H2130" t="str">
            <v>Cartridge Coalescer Filter</v>
          </cell>
        </row>
        <row r="2131">
          <cell r="G2131" t="str">
            <v>LAF3707</v>
          </cell>
          <cell r="H2131" t="str">
            <v>HD Metal-End Air Filter-Inner</v>
          </cell>
        </row>
        <row r="2132">
          <cell r="G2132" t="str">
            <v>LAF8662</v>
          </cell>
          <cell r="H2132" t="str">
            <v>Finned Vane Air Filter</v>
          </cell>
        </row>
        <row r="2133">
          <cell r="G2133" t="str">
            <v>LK377M</v>
          </cell>
          <cell r="H2133" t="str">
            <v>Maintenance Kit</v>
          </cell>
        </row>
        <row r="2134">
          <cell r="G2134" t="str">
            <v>AF574</v>
          </cell>
          <cell r="H2134" t="str">
            <v>Air Filter</v>
          </cell>
        </row>
        <row r="2135">
          <cell r="G2135" t="str">
            <v>G6519</v>
          </cell>
          <cell r="H2135" t="str">
            <v>Fuel Filter</v>
          </cell>
        </row>
        <row r="2136">
          <cell r="G2136" t="str">
            <v>G853</v>
          </cell>
          <cell r="H2136" t="str">
            <v>Fuel Filter</v>
          </cell>
        </row>
        <row r="2137">
          <cell r="G2137" t="str">
            <v>L5947F</v>
          </cell>
          <cell r="H2137" t="str">
            <v>Cartridge Fuel Filter</v>
          </cell>
        </row>
        <row r="2138">
          <cell r="G2138" t="str">
            <v>LAF1836</v>
          </cell>
          <cell r="H2138" t="str">
            <v>HD Metal-End Air Filter</v>
          </cell>
        </row>
        <row r="2139">
          <cell r="G2139" t="str">
            <v>LFF3538</v>
          </cell>
          <cell r="H2139" t="str">
            <v>Spin-on Fuel Filter</v>
          </cell>
        </row>
        <row r="2140">
          <cell r="G2140" t="str">
            <v>LFF8714</v>
          </cell>
          <cell r="H2140" t="str">
            <v>Spin-on Fuel Filter</v>
          </cell>
        </row>
        <row r="2141">
          <cell r="G2141" t="str">
            <v>LFH3762</v>
          </cell>
          <cell r="H2141" t="str">
            <v>Spin-on Hydraulic Filter</v>
          </cell>
        </row>
        <row r="2142">
          <cell r="G2142" t="str">
            <v>LH95345V</v>
          </cell>
          <cell r="H2142" t="str">
            <v>Cartridge Hydraulic Filter</v>
          </cell>
        </row>
        <row r="2143">
          <cell r="G2143" t="str">
            <v>LP2525</v>
          </cell>
          <cell r="H2143" t="str">
            <v>Cartridge Oil Filter</v>
          </cell>
        </row>
        <row r="2144">
          <cell r="G2144" t="str">
            <v>P1024</v>
          </cell>
          <cell r="H2144" t="str">
            <v>Cartridge Oil Filter</v>
          </cell>
        </row>
        <row r="2145">
          <cell r="G2145" t="str">
            <v>T121</v>
          </cell>
          <cell r="H2145" t="str">
            <v>Transmission Filter Kit</v>
          </cell>
        </row>
        <row r="2146">
          <cell r="G2146" t="str">
            <v>T144</v>
          </cell>
          <cell r="H2146" t="str">
            <v>Transmission Filter Kit</v>
          </cell>
        </row>
        <row r="2147">
          <cell r="G2147" t="str">
            <v>AF728</v>
          </cell>
          <cell r="H2147" t="str">
            <v>Round Air Filter</v>
          </cell>
        </row>
        <row r="2148">
          <cell r="G2148" t="str">
            <v>L632F</v>
          </cell>
          <cell r="H2148" t="str">
            <v>Cartridge Fuel Filter</v>
          </cell>
        </row>
        <row r="2149">
          <cell r="G2149" t="str">
            <v>SPRING</v>
          </cell>
          <cell r="H2149" t="str">
            <v>Spring/970-C</v>
          </cell>
        </row>
        <row r="2150">
          <cell r="G2150" t="str">
            <v>AF2956</v>
          </cell>
          <cell r="H2150" t="str">
            <v>Rigid Panel Air Filter</v>
          </cell>
        </row>
        <row r="2151">
          <cell r="G2151" t="str">
            <v>AF4003</v>
          </cell>
          <cell r="H2151" t="str">
            <v>Flexible Panel Air Filter</v>
          </cell>
        </row>
        <row r="2152">
          <cell r="G2152" t="str">
            <v>AF7935</v>
          </cell>
          <cell r="H2152" t="str">
            <v>Flexible Panel Air Filter</v>
          </cell>
        </row>
        <row r="2153">
          <cell r="G2153" t="str">
            <v>P966</v>
          </cell>
          <cell r="H2153" t="str">
            <v>Cartridge Oil Filter</v>
          </cell>
        </row>
        <row r="2154">
          <cell r="G2154" t="str">
            <v>G6640</v>
          </cell>
          <cell r="H2154" t="str">
            <v>In-Line Fuel Filter</v>
          </cell>
        </row>
        <row r="2155">
          <cell r="G2155" t="str">
            <v>CAF7702</v>
          </cell>
          <cell r="H2155" t="str">
            <v>Cabin Air Filter (Carbon)</v>
          </cell>
        </row>
        <row r="2156">
          <cell r="G2156" t="str">
            <v>CAF1818P</v>
          </cell>
          <cell r="H2156" t="str">
            <v>Cabin Air Filter</v>
          </cell>
        </row>
        <row r="2157">
          <cell r="G2157" t="str">
            <v>AF7946</v>
          </cell>
          <cell r="H2157" t="str">
            <v>Radial Seal Air Filter</v>
          </cell>
        </row>
        <row r="2158">
          <cell r="G2158" t="str">
            <v>LP2256</v>
          </cell>
          <cell r="H2158" t="str">
            <v>Cartridge Oil Filter</v>
          </cell>
        </row>
        <row r="2159">
          <cell r="G2159" t="str">
            <v>LAF2523</v>
          </cell>
          <cell r="H2159" t="str">
            <v>HD Metal-End Air Filter</v>
          </cell>
        </row>
        <row r="2160">
          <cell r="G2160" t="str">
            <v>P1008</v>
          </cell>
          <cell r="H2160" t="str">
            <v>Cartridge Oil Filter</v>
          </cell>
        </row>
        <row r="2161">
          <cell r="G2161" t="str">
            <v>AF4046</v>
          </cell>
          <cell r="H2161" t="str">
            <v>Flexible Panel Air Filter</v>
          </cell>
        </row>
        <row r="2162">
          <cell r="G2162" t="str">
            <v>LAF8660</v>
          </cell>
          <cell r="H2162" t="str">
            <v>HD Metal-End Air Filter</v>
          </cell>
        </row>
        <row r="2163">
          <cell r="G2163" t="str">
            <v>LAF1720</v>
          </cell>
          <cell r="H2163" t="str">
            <v>Round Air Filter</v>
          </cell>
        </row>
        <row r="2164">
          <cell r="G2164" t="str">
            <v>PC74</v>
          </cell>
          <cell r="H2164" t="str">
            <v>PCV Valve</v>
          </cell>
        </row>
        <row r="2165">
          <cell r="G2165" t="str">
            <v>AF3966</v>
          </cell>
          <cell r="H2165" t="str">
            <v>Flexible Panel Air Filter</v>
          </cell>
        </row>
        <row r="2166">
          <cell r="G2166" t="str">
            <v>LAF1894</v>
          </cell>
          <cell r="H2166" t="str">
            <v>Nano Tech HD Metal-End Air Filter Outer</v>
          </cell>
        </row>
        <row r="2167">
          <cell r="G2167" t="str">
            <v>LFH8484</v>
          </cell>
          <cell r="H2167" t="str">
            <v>Spin-on Hydraulic Filter</v>
          </cell>
        </row>
        <row r="2168">
          <cell r="G2168" t="str">
            <v>LFH4439</v>
          </cell>
          <cell r="H2168" t="str">
            <v>Spin-on Hydraulic Filter</v>
          </cell>
        </row>
        <row r="2169">
          <cell r="G2169" t="str">
            <v>AF7922</v>
          </cell>
          <cell r="H2169" t="str">
            <v>Flexible Panel Air Filter</v>
          </cell>
        </row>
        <row r="2170">
          <cell r="G2170" t="str">
            <v>LFP3413</v>
          </cell>
          <cell r="H2170" t="str">
            <v>Spin-on Oil Filter</v>
          </cell>
        </row>
        <row r="2171">
          <cell r="G2171" t="str">
            <v>AF7937</v>
          </cell>
          <cell r="H2171" t="str">
            <v>Rigid Panel Air Filter</v>
          </cell>
        </row>
        <row r="2172">
          <cell r="G2172" t="str">
            <v>L3891F</v>
          </cell>
          <cell r="H2172" t="str">
            <v>Snap-lock Fuel/Water Separator Filter</v>
          </cell>
        </row>
        <row r="2173">
          <cell r="G2173" t="str">
            <v>CAF1807C</v>
          </cell>
          <cell r="H2173" t="str">
            <v>Cabin Air Filter (Carbon)</v>
          </cell>
        </row>
        <row r="2174">
          <cell r="G2174" t="str">
            <v>AF5252</v>
          </cell>
          <cell r="H2174" t="str">
            <v>Air Filter</v>
          </cell>
        </row>
        <row r="2175">
          <cell r="G2175" t="str">
            <v>LAF8375</v>
          </cell>
          <cell r="H2175" t="str">
            <v>Round Air Filter with Foam Wrap</v>
          </cell>
        </row>
        <row r="2176">
          <cell r="G2176" t="str">
            <v>LH4233</v>
          </cell>
          <cell r="H2176" t="str">
            <v>Cartridge Hydraulic Filter</v>
          </cell>
        </row>
        <row r="2177">
          <cell r="G2177" t="str">
            <v>LAF1979</v>
          </cell>
          <cell r="H2177" t="str">
            <v>HD Round Air Filter with Attached Boot</v>
          </cell>
        </row>
        <row r="2178">
          <cell r="G2178" t="str">
            <v>L1656-0</v>
          </cell>
          <cell r="H2178" t="str">
            <v>Sock Type Oil Filter</v>
          </cell>
        </row>
        <row r="2179">
          <cell r="G2179" t="str">
            <v>LAF744</v>
          </cell>
          <cell r="H2179" t="str">
            <v>HD Metal-End Air Filter</v>
          </cell>
        </row>
        <row r="2180">
          <cell r="G2180" t="str">
            <v>LAF8618</v>
          </cell>
          <cell r="H2180" t="str">
            <v>HD Metal-End Air Filter-Inner</v>
          </cell>
        </row>
        <row r="2181">
          <cell r="G2181" t="str">
            <v>LAF8673</v>
          </cell>
          <cell r="H2181" t="str">
            <v>Radial Seal Outer Air Filter</v>
          </cell>
        </row>
        <row r="2182">
          <cell r="G2182" t="str">
            <v>AF112</v>
          </cell>
          <cell r="H2182" t="str">
            <v>Round Air Filter</v>
          </cell>
        </row>
        <row r="2183">
          <cell r="G2183" t="str">
            <v>LAF22095</v>
          </cell>
          <cell r="H2183" t="str">
            <v>Round Air Filter</v>
          </cell>
        </row>
        <row r="2184">
          <cell r="G2184" t="str">
            <v>CAF1812C</v>
          </cell>
          <cell r="H2184" t="str">
            <v>Cabin Air Filter (Carbon)</v>
          </cell>
        </row>
        <row r="2185">
          <cell r="G2185" t="str">
            <v>LAF4319</v>
          </cell>
          <cell r="H2185" t="str">
            <v>Round Air Filter</v>
          </cell>
        </row>
        <row r="2186">
          <cell r="G2186" t="str">
            <v>LAF8621</v>
          </cell>
          <cell r="H2186" t="str">
            <v>HD Round Air Filter with Attached Lid</v>
          </cell>
        </row>
        <row r="2187">
          <cell r="G2187" t="str">
            <v>LFP5930</v>
          </cell>
          <cell r="H2187" t="str">
            <v>Spin-on Oil Filter</v>
          </cell>
        </row>
        <row r="2188">
          <cell r="G2188" t="str">
            <v>LP2250</v>
          </cell>
          <cell r="H2188" t="str">
            <v>Cartridge Oil Filter</v>
          </cell>
        </row>
        <row r="2189">
          <cell r="G2189" t="str">
            <v>P993</v>
          </cell>
          <cell r="H2189" t="str">
            <v>Cartridge Oil Filter</v>
          </cell>
        </row>
        <row r="2190">
          <cell r="G2190" t="str">
            <v>AF2341</v>
          </cell>
          <cell r="H2190" t="str">
            <v>Radial Seal Inner Air Filter</v>
          </cell>
        </row>
        <row r="2191">
          <cell r="G2191" t="str">
            <v>AF4034</v>
          </cell>
          <cell r="H2191" t="str">
            <v>Rigid Panel Air Filter</v>
          </cell>
        </row>
        <row r="2192">
          <cell r="G2192" t="str">
            <v>CAF1702</v>
          </cell>
          <cell r="H2192" t="str">
            <v>Cabin Air Filter</v>
          </cell>
        </row>
        <row r="2193">
          <cell r="G2193" t="str">
            <v>FP901F</v>
          </cell>
          <cell r="H2193" t="str">
            <v>Spin-on Fuel Filter</v>
          </cell>
        </row>
        <row r="2194">
          <cell r="G2194" t="str">
            <v>PH453</v>
          </cell>
          <cell r="H2194" t="str">
            <v>Spin-on Oil Filter</v>
          </cell>
        </row>
        <row r="2195">
          <cell r="G2195" t="str">
            <v>CAF1743</v>
          </cell>
          <cell r="H2195" t="str">
            <v>Cabin Air Filter</v>
          </cell>
        </row>
        <row r="2196">
          <cell r="G2196" t="str">
            <v>AF3958</v>
          </cell>
          <cell r="H2196" t="str">
            <v>Rigid Panel Air Filter</v>
          </cell>
        </row>
        <row r="2197">
          <cell r="G2197" t="str">
            <v>AF376</v>
          </cell>
          <cell r="H2197" t="str">
            <v>Round Air Filter</v>
          </cell>
        </row>
        <row r="2198">
          <cell r="G2198" t="str">
            <v>LAF1847</v>
          </cell>
          <cell r="H2198" t="str">
            <v>Round Inner Air Filter with Flanged Endcap</v>
          </cell>
        </row>
        <row r="2199">
          <cell r="G2199" t="str">
            <v>CAF7749</v>
          </cell>
          <cell r="H2199" t="str">
            <v>Cabin Air Filter (Carbon)</v>
          </cell>
        </row>
        <row r="2200">
          <cell r="G2200" t="str">
            <v>LAF1801</v>
          </cell>
          <cell r="H2200" t="str">
            <v>HD Metal-End Air Filter</v>
          </cell>
        </row>
        <row r="2201">
          <cell r="G2201" t="str">
            <v>LAF6918D</v>
          </cell>
          <cell r="H2201" t="str">
            <v>HD Metal-End Air Filter</v>
          </cell>
        </row>
        <row r="2202">
          <cell r="G2202" t="str">
            <v>LAF1923</v>
          </cell>
          <cell r="H2202" t="str">
            <v>HD Metal-End Air Filter-Inner</v>
          </cell>
        </row>
        <row r="2203">
          <cell r="G2203" t="str">
            <v>L3925F</v>
          </cell>
          <cell r="H2203" t="str">
            <v>Snap-lock Fuel/Water Separator Filter</v>
          </cell>
        </row>
        <row r="2204">
          <cell r="G2204" t="str">
            <v>CAF1863P</v>
          </cell>
          <cell r="H2204" t="str">
            <v>Cabin Air Filter</v>
          </cell>
        </row>
        <row r="2205">
          <cell r="G2205" t="str">
            <v>CAF1843P</v>
          </cell>
          <cell r="H2205" t="str">
            <v>Cabin Air Filter</v>
          </cell>
        </row>
        <row r="2206">
          <cell r="G2206" t="str">
            <v>LAF1628</v>
          </cell>
          <cell r="H2206" t="str">
            <v>Tube Type Air Filter</v>
          </cell>
        </row>
        <row r="2207">
          <cell r="G2207" t="str">
            <v>LAF1837</v>
          </cell>
          <cell r="H2207" t="str">
            <v>HD Metal-End Air Filter</v>
          </cell>
        </row>
        <row r="2208">
          <cell r="G2208" t="str">
            <v>CAF1806P</v>
          </cell>
          <cell r="H2208" t="str">
            <v>Cabin Air Filter</v>
          </cell>
        </row>
        <row r="2209">
          <cell r="G2209" t="str">
            <v>LAF480</v>
          </cell>
          <cell r="H2209" t="str">
            <v>Tube Type Air Filter</v>
          </cell>
        </row>
        <row r="2210">
          <cell r="G2210" t="str">
            <v>LAF8623</v>
          </cell>
          <cell r="H2210" t="str">
            <v>Round Inner Air Filter</v>
          </cell>
        </row>
        <row r="2211">
          <cell r="G2211" t="str">
            <v>LP2315</v>
          </cell>
          <cell r="H2211" t="str">
            <v>Cartridge Oil Filter</v>
          </cell>
        </row>
        <row r="2212">
          <cell r="G2212" t="str">
            <v>LH4232</v>
          </cell>
          <cell r="H2212" t="str">
            <v>Cartridge Hydraulic Filter</v>
          </cell>
        </row>
        <row r="2213">
          <cell r="G2213" t="str">
            <v>T634</v>
          </cell>
          <cell r="H2213" t="str">
            <v>Transmission Filter Kit</v>
          </cell>
        </row>
        <row r="2214">
          <cell r="G2214" t="str">
            <v>LAF8082</v>
          </cell>
          <cell r="H2214" t="str">
            <v>HD Metal-End Air Filter-Inner</v>
          </cell>
        </row>
        <row r="2215">
          <cell r="G2215" t="str">
            <v>LFP3582</v>
          </cell>
          <cell r="H2215" t="str">
            <v>Spin-on Oil Filter</v>
          </cell>
        </row>
        <row r="2216">
          <cell r="G2216" t="str">
            <v>LH4254</v>
          </cell>
          <cell r="H2216" t="str">
            <v>Cartridge Hydraulic Filter</v>
          </cell>
        </row>
        <row r="2217">
          <cell r="G2217" t="str">
            <v>LAF2338</v>
          </cell>
          <cell r="H2217" t="str">
            <v>Finned Vane Air Filter</v>
          </cell>
        </row>
        <row r="2218">
          <cell r="G2218" t="str">
            <v>LFH8536</v>
          </cell>
          <cell r="H2218" t="str">
            <v>Spin-on Hydraulic Filter</v>
          </cell>
        </row>
        <row r="2219">
          <cell r="G2219" t="str">
            <v>LAF8588</v>
          </cell>
          <cell r="H2219" t="str">
            <v>HD Round Finned Air Filter with Attached Lid</v>
          </cell>
        </row>
        <row r="2220">
          <cell r="G2220" t="str">
            <v>L2986F</v>
          </cell>
          <cell r="H2220" t="str">
            <v>Cartridge Fuel Filter</v>
          </cell>
        </row>
        <row r="2221">
          <cell r="G2221" t="str">
            <v>LAF8586</v>
          </cell>
          <cell r="H2221" t="str">
            <v>HD Metal-End Air Filter with Attached Lid</v>
          </cell>
        </row>
        <row r="2222">
          <cell r="G2222" t="str">
            <v>LK9I</v>
          </cell>
          <cell r="H2222" t="str">
            <v>International Engine Maintenance Kit</v>
          </cell>
        </row>
        <row r="2223">
          <cell r="G2223" t="str">
            <v>LAF1822</v>
          </cell>
          <cell r="H2223" t="str">
            <v>Metal-End Air Filter with Closed Top End Cap</v>
          </cell>
        </row>
        <row r="2224">
          <cell r="G2224" t="str">
            <v>LAF4246</v>
          </cell>
          <cell r="H2224" t="str">
            <v>HD Metal-End Air Filter</v>
          </cell>
        </row>
        <row r="2225">
          <cell r="G2225" t="str">
            <v>CAF1783</v>
          </cell>
          <cell r="H2225" t="str">
            <v>Cabin Air Filter</v>
          </cell>
        </row>
        <row r="2226">
          <cell r="G2226" t="str">
            <v>LK378M</v>
          </cell>
          <cell r="H2226" t="str">
            <v>Maintenance Kit</v>
          </cell>
        </row>
        <row r="2227">
          <cell r="G2227" t="str">
            <v>LMB451</v>
          </cell>
          <cell r="H2227" t="str">
            <v>Adaptor Base for LFP9750</v>
          </cell>
        </row>
        <row r="2228">
          <cell r="G2228" t="str">
            <v>LAF1851</v>
          </cell>
          <cell r="H2228" t="str">
            <v>HD Metal-End Air Filter</v>
          </cell>
        </row>
        <row r="2229">
          <cell r="G2229" t="str">
            <v>LAF5820</v>
          </cell>
          <cell r="H2229" t="str">
            <v>Rigid Panel Air Filter</v>
          </cell>
        </row>
        <row r="2230">
          <cell r="G2230" t="str">
            <v>LAF8102</v>
          </cell>
          <cell r="H2230" t="str">
            <v>Radial Seal Outer Air Filter</v>
          </cell>
        </row>
        <row r="2231">
          <cell r="G2231" t="str">
            <v>LAF8152</v>
          </cell>
          <cell r="H2231" t="str">
            <v>Radial Seal Inner Air Filter</v>
          </cell>
        </row>
        <row r="2232">
          <cell r="G2232" t="str">
            <v>LH22143</v>
          </cell>
          <cell r="H2232" t="str">
            <v>Industrial Cartridge Hydraulic Filter</v>
          </cell>
        </row>
        <row r="2233">
          <cell r="G2233" t="str">
            <v>LH7035V</v>
          </cell>
          <cell r="H2233" t="str">
            <v>Cartridge Hydraulic Filter</v>
          </cell>
        </row>
        <row r="2234">
          <cell r="G2234" t="str">
            <v>LK223D</v>
          </cell>
          <cell r="H2234" t="str">
            <v>Detroit Diesel Engine Maintenance Kit</v>
          </cell>
        </row>
        <row r="2235">
          <cell r="G2235" t="str">
            <v>LK338C</v>
          </cell>
          <cell r="H2235" t="str">
            <v>Cummins Engine Maintenance Kit</v>
          </cell>
        </row>
        <row r="2236">
          <cell r="G2236" t="str">
            <v>LP2237</v>
          </cell>
          <cell r="H2236" t="str">
            <v>Cartridge Oil Filter</v>
          </cell>
        </row>
        <row r="2237">
          <cell r="G2237" t="str">
            <v>LP2299</v>
          </cell>
          <cell r="H2237" t="str">
            <v>Cartridge Oil Filter</v>
          </cell>
        </row>
        <row r="2238">
          <cell r="G2238" t="str">
            <v>G473</v>
          </cell>
          <cell r="H2238" t="str">
            <v>In-Line Fuel Filter</v>
          </cell>
        </row>
        <row r="2239">
          <cell r="G2239" t="str">
            <v>G6332</v>
          </cell>
          <cell r="H2239" t="str">
            <v>In-Line Fuel Filter</v>
          </cell>
        </row>
        <row r="2240">
          <cell r="G2240" t="str">
            <v>G6527</v>
          </cell>
          <cell r="H2240" t="str">
            <v>In-Line Fuel Filter</v>
          </cell>
        </row>
        <row r="2241">
          <cell r="G2241" t="str">
            <v>OUTLET</v>
          </cell>
          <cell r="H2241" t="str">
            <v>Outlet Check Valve Assembly/500B, C, 750-C, CT</v>
          </cell>
        </row>
        <row r="2242">
          <cell r="G2242" t="str">
            <v>PACK</v>
          </cell>
          <cell r="H2242" t="str">
            <v>Hold Down Stud/750-2C, 3C, 970-C</v>
          </cell>
        </row>
        <row r="2243">
          <cell r="G2243">
            <v>200</v>
          </cell>
          <cell r="H2243" t="str">
            <v>Luber-finer model 200S diesel pak oil filter</v>
          </cell>
        </row>
        <row r="2244">
          <cell r="G2244" t="str">
            <v>4069</v>
          </cell>
          <cell r="H2244" t="str">
            <v>Gasket, Replaces Cummins 164159</v>
          </cell>
        </row>
        <row r="2245">
          <cell r="G2245" t="str">
            <v>AF368</v>
          </cell>
          <cell r="H2245" t="str">
            <v>Round Air Filter</v>
          </cell>
        </row>
        <row r="2246">
          <cell r="G2246" t="str">
            <v>P969</v>
          </cell>
          <cell r="H2246" t="str">
            <v>Cartridge Oil Filter</v>
          </cell>
        </row>
        <row r="2247">
          <cell r="G2247" t="str">
            <v>AF3595</v>
          </cell>
          <cell r="H2247" t="str">
            <v>Rigid Panel Air Filter</v>
          </cell>
        </row>
        <row r="2248">
          <cell r="G2248" t="str">
            <v>AF4038</v>
          </cell>
          <cell r="H2248" t="str">
            <v>Flexible Panel Air Filter</v>
          </cell>
        </row>
        <row r="2249">
          <cell r="G2249" t="str">
            <v>AF3145</v>
          </cell>
          <cell r="H2249" t="str">
            <v>Flexible Panel Air Filter</v>
          </cell>
        </row>
        <row r="2250">
          <cell r="G2250" t="str">
            <v>P131</v>
          </cell>
          <cell r="H2250" t="str">
            <v>Cartridge Oil Filter</v>
          </cell>
        </row>
        <row r="2251">
          <cell r="G2251" t="str">
            <v>T189</v>
          </cell>
          <cell r="H2251" t="str">
            <v>Transmission Filter Kit</v>
          </cell>
        </row>
        <row r="2252">
          <cell r="G2252" t="str">
            <v>AF3982</v>
          </cell>
          <cell r="H2252" t="str">
            <v>Flexible Panel Air Filter</v>
          </cell>
        </row>
        <row r="2253">
          <cell r="G2253" t="str">
            <v>L3419F</v>
          </cell>
          <cell r="H2253" t="str">
            <v>Cartridge Fuel Filter</v>
          </cell>
        </row>
        <row r="2254">
          <cell r="G2254" t="str">
            <v>AF4020</v>
          </cell>
          <cell r="H2254" t="str">
            <v>Rigid Panel Air Filter</v>
          </cell>
        </row>
        <row r="2255">
          <cell r="G2255" t="str">
            <v>CAF1904P</v>
          </cell>
          <cell r="H2255" t="str">
            <v>Cabin Air Filter</v>
          </cell>
        </row>
        <row r="2256">
          <cell r="G2256" t="str">
            <v>LAF1715</v>
          </cell>
          <cell r="H2256" t="str">
            <v>Round Air Filter</v>
          </cell>
        </row>
        <row r="2257">
          <cell r="G2257" t="str">
            <v>LFP2286G</v>
          </cell>
          <cell r="H2257" t="str">
            <v>Extended Life Spin-on Oil Filter</v>
          </cell>
        </row>
        <row r="2258">
          <cell r="G2258" t="str">
            <v>G246</v>
          </cell>
          <cell r="H2258" t="str">
            <v>In-Line Fuel Filter</v>
          </cell>
        </row>
        <row r="2259">
          <cell r="G2259" t="str">
            <v>T147</v>
          </cell>
          <cell r="H2259" t="str">
            <v>Transmission Filter Kit</v>
          </cell>
        </row>
        <row r="2260">
          <cell r="G2260" t="str">
            <v>LAF2530</v>
          </cell>
          <cell r="H2260" t="str">
            <v>Disposible Housing Air Filter</v>
          </cell>
        </row>
        <row r="2261">
          <cell r="G2261" t="str">
            <v>LP970-10</v>
          </cell>
          <cell r="H2261" t="str">
            <v>Cartridge Oil Filter</v>
          </cell>
        </row>
        <row r="2262">
          <cell r="G2262" t="str">
            <v>LH4911</v>
          </cell>
          <cell r="H2262" t="str">
            <v>Cartridge Hydraulic Filter</v>
          </cell>
        </row>
        <row r="2263">
          <cell r="G2263" t="str">
            <v>LH8498</v>
          </cell>
          <cell r="H2263" t="str">
            <v>Cartridge Hydraulic Filter</v>
          </cell>
        </row>
        <row r="2264">
          <cell r="G2264" t="str">
            <v>AF5263</v>
          </cell>
          <cell r="H2264" t="str">
            <v>Air Filter</v>
          </cell>
        </row>
        <row r="2265">
          <cell r="G2265" t="str">
            <v>G650</v>
          </cell>
          <cell r="H2265" t="str">
            <v>In-Line Fuel Filter</v>
          </cell>
        </row>
        <row r="2266">
          <cell r="G2266" t="str">
            <v>CAF1798</v>
          </cell>
          <cell r="H2266" t="str">
            <v>Cabin Air Filter</v>
          </cell>
        </row>
        <row r="2267">
          <cell r="G2267" t="str">
            <v>LAF1909</v>
          </cell>
          <cell r="H2267" t="str">
            <v>Round Air Filter</v>
          </cell>
        </row>
        <row r="2268">
          <cell r="G2268" t="str">
            <v>LFH8460</v>
          </cell>
          <cell r="H2268" t="str">
            <v>Spin-on Hydraulic Filter</v>
          </cell>
        </row>
        <row r="2269">
          <cell r="G2269" t="str">
            <v>P1025</v>
          </cell>
          <cell r="H2269" t="str">
            <v>Cartridge Oil Filter</v>
          </cell>
        </row>
        <row r="2270">
          <cell r="G2270" t="str">
            <v>PC194</v>
          </cell>
          <cell r="H2270" t="str">
            <v>PCV Valve</v>
          </cell>
        </row>
        <row r="2271">
          <cell r="G2271" t="str">
            <v>CAF7770</v>
          </cell>
          <cell r="H2271" t="str">
            <v>Cabin Air Filter (Carbon)</v>
          </cell>
        </row>
        <row r="2272">
          <cell r="G2272" t="str">
            <v>LAF1952</v>
          </cell>
          <cell r="H2272" t="str">
            <v>HD Metal-End Inner Air Filter</v>
          </cell>
        </row>
        <row r="2273">
          <cell r="G2273" t="str">
            <v>P973</v>
          </cell>
          <cell r="H2273" t="str">
            <v>Cartridge Oil Filter</v>
          </cell>
        </row>
        <row r="2274">
          <cell r="G2274" t="str">
            <v>LAF8959</v>
          </cell>
          <cell r="H2274" t="str">
            <v>HD Metal-End Air Filter</v>
          </cell>
        </row>
        <row r="2275">
          <cell r="G2275" t="str">
            <v>LAF8494MXM</v>
          </cell>
          <cell r="H2275" t="str">
            <v xml:space="preserve">Nano Tech Air Filter HD Metal-End </v>
          </cell>
        </row>
        <row r="2276">
          <cell r="G2276" t="str">
            <v>T176A</v>
          </cell>
          <cell r="H2276" t="str">
            <v>Transmission Filter Kit</v>
          </cell>
        </row>
        <row r="2277">
          <cell r="G2277" t="str">
            <v>LAF1812</v>
          </cell>
          <cell r="H2277" t="str">
            <v>HD Round Air Filter with Attached Boot</v>
          </cell>
        </row>
        <row r="2278">
          <cell r="G2278" t="str">
            <v>LAF937</v>
          </cell>
          <cell r="H2278" t="str">
            <v>HD Metal-End Inner Air Filter</v>
          </cell>
        </row>
        <row r="2279">
          <cell r="G2279" t="str">
            <v>LH11034</v>
          </cell>
          <cell r="H2279" t="str">
            <v>Industrial Cartridge Hydraulic Filter</v>
          </cell>
        </row>
        <row r="2280">
          <cell r="G2280" t="str">
            <v>T732</v>
          </cell>
          <cell r="H2280" t="str">
            <v>Transmission Filter Kit</v>
          </cell>
        </row>
        <row r="2281">
          <cell r="G2281" t="str">
            <v>CAF1812P</v>
          </cell>
          <cell r="H2281" t="str">
            <v>Cabin Air filter</v>
          </cell>
        </row>
        <row r="2282">
          <cell r="G2282" t="str">
            <v>LAF22045</v>
          </cell>
          <cell r="H2282" t="str">
            <v>Oval Air Filter</v>
          </cell>
        </row>
        <row r="2283">
          <cell r="G2283" t="str">
            <v>LH9556</v>
          </cell>
          <cell r="H2283" t="str">
            <v>Cartridge Hydraulic Filter</v>
          </cell>
        </row>
        <row r="2284">
          <cell r="G2284" t="str">
            <v>LAF8274</v>
          </cell>
          <cell r="H2284" t="str">
            <v>Panel Air Filter Metal Framed</v>
          </cell>
        </row>
        <row r="2285">
          <cell r="G2285" t="str">
            <v>LAF863</v>
          </cell>
          <cell r="H2285" t="str">
            <v>HD Metal-End Air Filter</v>
          </cell>
        </row>
        <row r="2286">
          <cell r="G2286" t="str">
            <v>LAF8828</v>
          </cell>
          <cell r="H2286" t="str">
            <v>HD Metal-End Air Filter-Inner</v>
          </cell>
        </row>
        <row r="2287">
          <cell r="G2287" t="str">
            <v>T156A</v>
          </cell>
          <cell r="H2287" t="str">
            <v>Transmission Filter Kit</v>
          </cell>
        </row>
        <row r="2288">
          <cell r="G2288" t="str">
            <v>AF7866</v>
          </cell>
          <cell r="H2288" t="str">
            <v>Rigid Panel Air Filter</v>
          </cell>
        </row>
        <row r="2289">
          <cell r="G2289" t="str">
            <v>LAF1870</v>
          </cell>
          <cell r="H2289" t="str">
            <v>Flexible Panel Air Filter</v>
          </cell>
        </row>
        <row r="2290">
          <cell r="G2290" t="str">
            <v>LAF3709</v>
          </cell>
          <cell r="H2290" t="str">
            <v>Round Air Filter</v>
          </cell>
        </row>
        <row r="2291">
          <cell r="G2291" t="str">
            <v>LAF3918</v>
          </cell>
          <cell r="H2291" t="str">
            <v>HD Metal-End Air Filter</v>
          </cell>
        </row>
        <row r="2292">
          <cell r="G2292" t="str">
            <v>LAF8779</v>
          </cell>
          <cell r="H2292" t="str">
            <v>Panel Air Filter Metal Framed</v>
          </cell>
        </row>
        <row r="2293">
          <cell r="G2293" t="str">
            <v>LAF9155MXM</v>
          </cell>
          <cell r="H2293" t="str">
            <v xml:space="preserve">Nano Tech Air Filter HD Metal-End </v>
          </cell>
        </row>
        <row r="2294">
          <cell r="G2294" t="str">
            <v>LFH4953</v>
          </cell>
          <cell r="H2294" t="str">
            <v>Spin-on Hydraulic Filter</v>
          </cell>
        </row>
        <row r="2295">
          <cell r="G2295" t="str">
            <v>LK143C</v>
          </cell>
          <cell r="H2295" t="str">
            <v>Cummins Engine Maintenance Kit</v>
          </cell>
        </row>
        <row r="2296">
          <cell r="G2296" t="str">
            <v>T724</v>
          </cell>
          <cell r="H2296" t="str">
            <v>Transmission Filter Kit</v>
          </cell>
        </row>
        <row r="2297">
          <cell r="G2297" t="str">
            <v>CAF1808C</v>
          </cell>
          <cell r="H2297" t="str">
            <v>Cabin Air Filter (Carbon)</v>
          </cell>
        </row>
        <row r="2298">
          <cell r="G2298" t="str">
            <v>AF332</v>
          </cell>
          <cell r="H2298" t="str">
            <v>Round Air Filter</v>
          </cell>
        </row>
        <row r="2299">
          <cell r="G2299">
            <v>920055</v>
          </cell>
          <cell r="H2299" t="str">
            <v>Lubercool II 55 Gallon Drum</v>
          </cell>
        </row>
        <row r="2300">
          <cell r="G2300" t="str">
            <v>G510</v>
          </cell>
          <cell r="H2300" t="str">
            <v>In-Line Fuel Filter</v>
          </cell>
        </row>
        <row r="2301">
          <cell r="G2301" t="str">
            <v>P3040</v>
          </cell>
          <cell r="H2301" t="str">
            <v>Cartridge Oil Filter</v>
          </cell>
        </row>
        <row r="2302">
          <cell r="G2302" t="str">
            <v>AF4012</v>
          </cell>
          <cell r="H2302" t="str">
            <v>Flexible Panel Air Filter</v>
          </cell>
        </row>
        <row r="2303">
          <cell r="G2303" t="str">
            <v>P846</v>
          </cell>
          <cell r="H2303" t="str">
            <v>Cartridge Oil Filter</v>
          </cell>
        </row>
        <row r="2304">
          <cell r="G2304" t="str">
            <v>AF7908</v>
          </cell>
          <cell r="H2304" t="str">
            <v>Flexible Panel Air Filter</v>
          </cell>
        </row>
        <row r="2305">
          <cell r="G2305" t="str">
            <v>AF1679</v>
          </cell>
          <cell r="H2305" t="str">
            <v>Flexible Panel Air Filter</v>
          </cell>
        </row>
        <row r="2306">
          <cell r="G2306" t="str">
            <v>CAF1802P</v>
          </cell>
          <cell r="H2306" t="str">
            <v>Cabin Air Filter</v>
          </cell>
        </row>
        <row r="2307">
          <cell r="G2307" t="str">
            <v>AF3128</v>
          </cell>
          <cell r="H2307" t="str">
            <v>Flexible Panel Air Filter</v>
          </cell>
        </row>
        <row r="2308">
          <cell r="G2308" t="str">
            <v>CAF1882P</v>
          </cell>
          <cell r="H2308" t="str">
            <v>Cabin Air Filter</v>
          </cell>
        </row>
        <row r="2309">
          <cell r="G2309" t="str">
            <v>caf1872p</v>
          </cell>
          <cell r="H2309" t="str">
            <v>Cabin Air Filter</v>
          </cell>
        </row>
        <row r="2310">
          <cell r="G2310" t="str">
            <v>LAF335</v>
          </cell>
          <cell r="H2310" t="str">
            <v>Round Inner Air Filter with Flanged Endcap</v>
          </cell>
        </row>
        <row r="2311">
          <cell r="G2311" t="str">
            <v>LFF8981</v>
          </cell>
          <cell r="H2311" t="str">
            <v>Spin-on Fuel Water Separator Filter</v>
          </cell>
        </row>
        <row r="2312">
          <cell r="G2312" t="str">
            <v>CAF7799</v>
          </cell>
          <cell r="H2312" t="str">
            <v>Cabin Air Filter (Carbon)</v>
          </cell>
        </row>
        <row r="2313">
          <cell r="G2313" t="str">
            <v>L22060F</v>
          </cell>
          <cell r="H2313" t="str">
            <v>Cartridge Fuel Filter</v>
          </cell>
        </row>
        <row r="2314">
          <cell r="G2314" t="str">
            <v>AF3914</v>
          </cell>
          <cell r="H2314" t="str">
            <v>Flexible Panel Air Filter</v>
          </cell>
        </row>
        <row r="2315">
          <cell r="G2315" t="str">
            <v>LAF8482</v>
          </cell>
          <cell r="H2315" t="str">
            <v>Round Inner Air Filter with Flanged Endcap</v>
          </cell>
        </row>
        <row r="2316">
          <cell r="G2316" t="str">
            <v>LAF506</v>
          </cell>
          <cell r="H2316" t="str">
            <v>Finned Vane Air Filter</v>
          </cell>
        </row>
        <row r="2317">
          <cell r="G2317" t="str">
            <v>AF206</v>
          </cell>
          <cell r="H2317" t="str">
            <v>Round Air Filter</v>
          </cell>
        </row>
        <row r="2318">
          <cell r="G2318" t="str">
            <v>LH8304</v>
          </cell>
          <cell r="H2318" t="str">
            <v>Cartridge Hydraulic Filter</v>
          </cell>
        </row>
        <row r="2319">
          <cell r="G2319" t="str">
            <v>LFH5896</v>
          </cell>
          <cell r="H2319" t="str">
            <v>Spin-on Hydraulic Filter</v>
          </cell>
        </row>
        <row r="2320">
          <cell r="G2320" t="str">
            <v>P3968</v>
          </cell>
          <cell r="H2320" t="str">
            <v>Cartridge Oil Filter</v>
          </cell>
        </row>
        <row r="2321">
          <cell r="G2321" t="str">
            <v>LAF8091</v>
          </cell>
          <cell r="H2321" t="str">
            <v>HD Metal-End Air Filter with Attached Lid</v>
          </cell>
        </row>
        <row r="2322">
          <cell r="G2322" t="str">
            <v>CAF1840C</v>
          </cell>
          <cell r="H2322" t="str">
            <v>Cabin Air Filter (Carbon)</v>
          </cell>
        </row>
        <row r="2323">
          <cell r="G2323" t="str">
            <v>LAF3901</v>
          </cell>
          <cell r="H2323" t="str">
            <v>Round Air Filter with Flanged Endcap</v>
          </cell>
        </row>
        <row r="2324">
          <cell r="G2324" t="str">
            <v>LAF1817</v>
          </cell>
          <cell r="H2324" t="str">
            <v>HD Metal-End Air Filter</v>
          </cell>
        </row>
        <row r="2325">
          <cell r="G2325" t="str">
            <v>LAF8736</v>
          </cell>
          <cell r="H2325" t="str">
            <v>Round Air Filter</v>
          </cell>
        </row>
        <row r="2326">
          <cell r="G2326" t="str">
            <v>LH4199</v>
          </cell>
          <cell r="H2326" t="str">
            <v>Cartridge Hydraulic Filter</v>
          </cell>
        </row>
        <row r="2327">
          <cell r="G2327" t="str">
            <v>LAF4306</v>
          </cell>
          <cell r="H2327" t="str">
            <v>HD Metal-End Air Filter</v>
          </cell>
        </row>
        <row r="2328">
          <cell r="G2328" t="str">
            <v>LAF8155</v>
          </cell>
          <cell r="H2328" t="str">
            <v>HD Round Air Filter with Attached Boot</v>
          </cell>
        </row>
        <row r="2329">
          <cell r="G2329" t="str">
            <v>LAF8889</v>
          </cell>
          <cell r="H2329" t="str">
            <v>Radial Seal Outer Air Filter</v>
          </cell>
        </row>
        <row r="2330">
          <cell r="G2330" t="str">
            <v>LAF5081</v>
          </cell>
          <cell r="H2330" t="str">
            <v>HD Metal-End Air Filter</v>
          </cell>
        </row>
        <row r="2331">
          <cell r="G2331" t="str">
            <v>LP229</v>
          </cell>
          <cell r="H2331" t="str">
            <v>Cartridge Oil Filter</v>
          </cell>
        </row>
        <row r="2332">
          <cell r="G2332" t="str">
            <v>T616</v>
          </cell>
          <cell r="H2332" t="str">
            <v>Transmission Filter Kit</v>
          </cell>
        </row>
        <row r="2333">
          <cell r="G2333" t="str">
            <v>AF604</v>
          </cell>
          <cell r="H2333" t="str">
            <v>Round Air Filter</v>
          </cell>
        </row>
        <row r="2334">
          <cell r="G2334" t="str">
            <v>LAF5837</v>
          </cell>
          <cell r="H2334" t="str">
            <v>Radial Seal Air Filter, Primary</v>
          </cell>
        </row>
        <row r="2335">
          <cell r="G2335" t="str">
            <v>LFF90011</v>
          </cell>
          <cell r="H2335" t="str">
            <v>Spin-on Fuel Filter</v>
          </cell>
        </row>
        <row r="2336">
          <cell r="G2336" t="str">
            <v>LH4247</v>
          </cell>
          <cell r="H2336" t="str">
            <v>Cartridge Hydraulic Filter</v>
          </cell>
        </row>
        <row r="2337">
          <cell r="G2337" t="str">
            <v>LAF1967</v>
          </cell>
          <cell r="H2337" t="str">
            <v>HD Metal-End Air Filter</v>
          </cell>
        </row>
        <row r="2338">
          <cell r="G2338" t="str">
            <v>LAF5725</v>
          </cell>
          <cell r="H2338" t="str">
            <v>Radial Seal Inner Air Filter</v>
          </cell>
        </row>
        <row r="2339">
          <cell r="G2339" t="str">
            <v>LAF5821</v>
          </cell>
          <cell r="H2339" t="str">
            <v>Rigid Panel Air Filter</v>
          </cell>
        </row>
        <row r="2340">
          <cell r="G2340" t="str">
            <v>LH4912</v>
          </cell>
          <cell r="H2340" t="str">
            <v>Cartridge Hydraulic Filter</v>
          </cell>
        </row>
        <row r="2341">
          <cell r="G2341" t="str">
            <v>LH8488</v>
          </cell>
          <cell r="H2341" t="str">
            <v>Hydraulic Cartridge Filter</v>
          </cell>
        </row>
        <row r="2342">
          <cell r="G2342" t="str">
            <v>LAF4149</v>
          </cell>
          <cell r="H2342" t="str">
            <v>HD Metal-End Air Filter</v>
          </cell>
        </row>
        <row r="2343">
          <cell r="G2343" t="str">
            <v>LP6028-5</v>
          </cell>
          <cell r="H2343" t="str">
            <v>Cartridge Oil Filter</v>
          </cell>
        </row>
        <row r="2344">
          <cell r="G2344" t="str">
            <v>L1874T</v>
          </cell>
          <cell r="H2344" t="str">
            <v>Sock Type Oil Filter</v>
          </cell>
        </row>
        <row r="2345">
          <cell r="G2345" t="str">
            <v>L9550FXL</v>
          </cell>
          <cell r="H2345" t="str">
            <v>Extended Life Cartridge Fuel Filter</v>
          </cell>
        </row>
        <row r="2346">
          <cell r="G2346" t="str">
            <v>LAF8084</v>
          </cell>
          <cell r="H2346" t="str">
            <v>HD Metal-End Air Filter with Attached Lid</v>
          </cell>
        </row>
        <row r="2347">
          <cell r="G2347" t="str">
            <v>LAF8190</v>
          </cell>
          <cell r="H2347" t="str">
            <v>Round Air Filter</v>
          </cell>
        </row>
        <row r="2348">
          <cell r="G2348" t="str">
            <v>LAF8764</v>
          </cell>
          <cell r="H2348" t="str">
            <v>Disposible Housing Air Filter</v>
          </cell>
        </row>
        <row r="2349">
          <cell r="G2349" t="str">
            <v>LAF8999</v>
          </cell>
          <cell r="H2349" t="str">
            <v>Cabin Air Filter</v>
          </cell>
        </row>
        <row r="2350">
          <cell r="G2350" t="str">
            <v>LK297M</v>
          </cell>
          <cell r="H2350" t="str">
            <v>Mack Engine Maintenance Kit</v>
          </cell>
        </row>
        <row r="2351">
          <cell r="G2351" t="str">
            <v>LP2220N</v>
          </cell>
          <cell r="H2351" t="str">
            <v>Cartridge Oil Filter</v>
          </cell>
        </row>
        <row r="2352">
          <cell r="G2352" t="str">
            <v>AF50A</v>
          </cell>
          <cell r="H2352" t="str">
            <v>Round Air Filter</v>
          </cell>
        </row>
        <row r="2353">
          <cell r="G2353" t="str">
            <v>LFF15-30</v>
          </cell>
          <cell r="H2353" t="str">
            <v>Fuel Dispensing Filter</v>
          </cell>
        </row>
        <row r="2354">
          <cell r="G2354" t="str">
            <v>500CT</v>
          </cell>
          <cell r="H2354" t="str">
            <v>Standard Upright 500-C Unit w/Imperial  Diesel Pack</v>
          </cell>
        </row>
        <row r="2355">
          <cell r="G2355" t="str">
            <v>AF918</v>
          </cell>
          <cell r="H2355" t="str">
            <v>Flexible Panel Air Filter</v>
          </cell>
        </row>
        <row r="2356">
          <cell r="G2356" t="str">
            <v>AF3993</v>
          </cell>
          <cell r="H2356" t="str">
            <v>Rigid Panel Air Filter</v>
          </cell>
        </row>
        <row r="2357">
          <cell r="G2357" t="str">
            <v>AF4021</v>
          </cell>
          <cell r="H2357" t="str">
            <v>Rigid Panel Air Filter</v>
          </cell>
        </row>
        <row r="2358">
          <cell r="G2358" t="str">
            <v>AF4022</v>
          </cell>
          <cell r="H2358" t="str">
            <v>Flexible Panel Air Filter</v>
          </cell>
        </row>
        <row r="2359">
          <cell r="G2359" t="str">
            <v>AF3935</v>
          </cell>
          <cell r="H2359" t="str">
            <v>Panel Air Irregular Shaped Filter</v>
          </cell>
        </row>
        <row r="2360">
          <cell r="G2360" t="str">
            <v>AF5192</v>
          </cell>
          <cell r="H2360" t="str">
            <v>Rigid Panel Air Filter</v>
          </cell>
        </row>
        <row r="2361">
          <cell r="G2361" t="str">
            <v>AF415</v>
          </cell>
          <cell r="H2361" t="str">
            <v>Round Panel Air Filter</v>
          </cell>
        </row>
        <row r="2362">
          <cell r="G2362" t="str">
            <v>G6630</v>
          </cell>
          <cell r="H2362" t="str">
            <v>In-Line Fuel Filter</v>
          </cell>
        </row>
        <row r="2363">
          <cell r="G2363" t="str">
            <v>LFP2255</v>
          </cell>
          <cell r="H2363" t="str">
            <v>Spin-on Oil Filter</v>
          </cell>
        </row>
        <row r="2364">
          <cell r="G2364" t="str">
            <v>PC139</v>
          </cell>
          <cell r="H2364" t="str">
            <v>PCV Valve</v>
          </cell>
        </row>
        <row r="2365">
          <cell r="G2365" t="str">
            <v>LFP2200K</v>
          </cell>
          <cell r="H2365" t="str">
            <v>Coalescer Fuel Filter and Mounting Base</v>
          </cell>
        </row>
        <row r="2366">
          <cell r="G2366" t="str">
            <v>AF773</v>
          </cell>
          <cell r="H2366" t="str">
            <v>Round Air Filter</v>
          </cell>
        </row>
        <row r="2367">
          <cell r="G2367" t="str">
            <v>LP815</v>
          </cell>
          <cell r="H2367" t="str">
            <v>Cartridge Oil Filter</v>
          </cell>
        </row>
        <row r="2368">
          <cell r="G2368" t="str">
            <v>PC761</v>
          </cell>
          <cell r="H2368" t="str">
            <v>PCV Valve</v>
          </cell>
        </row>
        <row r="2369">
          <cell r="G2369" t="str">
            <v>CAF1840P</v>
          </cell>
          <cell r="H2369" t="str">
            <v>Cabin Air Filter</v>
          </cell>
        </row>
        <row r="2370">
          <cell r="G2370" t="str">
            <v>AF1623</v>
          </cell>
          <cell r="H2370" t="str">
            <v>Flexible Panel Air Filter</v>
          </cell>
        </row>
        <row r="2371">
          <cell r="G2371" t="str">
            <v>CAF1896P</v>
          </cell>
          <cell r="H2371" t="str">
            <v>Cabin Air Filter</v>
          </cell>
        </row>
        <row r="2372">
          <cell r="G2372" t="str">
            <v>LAF5765</v>
          </cell>
          <cell r="H2372" t="str">
            <v>Radial Seal Outer Air Filter</v>
          </cell>
        </row>
        <row r="2373">
          <cell r="G2373" t="str">
            <v>P771A</v>
          </cell>
          <cell r="H2373" t="str">
            <v>Cartridge Oil Filter</v>
          </cell>
        </row>
        <row r="2374">
          <cell r="G2374" t="str">
            <v>AF5217</v>
          </cell>
          <cell r="H2374" t="str">
            <v>Rigid Panel Air Filter</v>
          </cell>
        </row>
        <row r="2375">
          <cell r="G2375" t="str">
            <v>AF2548</v>
          </cell>
          <cell r="H2375" t="str">
            <v>Flexible Panel Air Filter</v>
          </cell>
        </row>
        <row r="2376">
          <cell r="G2376" t="str">
            <v>LAF4503MXM</v>
          </cell>
          <cell r="H2376" t="str">
            <v>Nano Tech Radial Seal Air Filter</v>
          </cell>
        </row>
        <row r="2377">
          <cell r="G2377" t="str">
            <v>CAF1913C</v>
          </cell>
          <cell r="H2377" t="str">
            <v>Cabin Air Filter (Carbon)</v>
          </cell>
        </row>
        <row r="2378">
          <cell r="G2378" t="str">
            <v>LP1655</v>
          </cell>
          <cell r="H2378" t="str">
            <v>Cartridge Oil Filter</v>
          </cell>
        </row>
        <row r="2379">
          <cell r="G2379" t="str">
            <v>LAF8819</v>
          </cell>
          <cell r="H2379" t="str">
            <v>HD Metal-End Inner Air Filter</v>
          </cell>
        </row>
        <row r="2380">
          <cell r="G2380" t="str">
            <v>LAF1933</v>
          </cell>
          <cell r="H2380" t="str">
            <v>HD Metal-End Air Filter</v>
          </cell>
        </row>
        <row r="2381">
          <cell r="G2381" t="str">
            <v>LFH8268</v>
          </cell>
          <cell r="H2381" t="str">
            <v>Spin-on Hydraulic Filter</v>
          </cell>
        </row>
        <row r="2382">
          <cell r="G2382" t="str">
            <v>LH4928</v>
          </cell>
          <cell r="H2382" t="str">
            <v>Cartridge Hydraulic Filter</v>
          </cell>
        </row>
        <row r="2383">
          <cell r="G2383" t="str">
            <v>T193</v>
          </cell>
          <cell r="H2383" t="str">
            <v>Transmission Filter Kit</v>
          </cell>
        </row>
        <row r="2384">
          <cell r="G2384" t="str">
            <v>LAF5852</v>
          </cell>
          <cell r="H2384" t="str">
            <v>Finned Vane Air Filter</v>
          </cell>
        </row>
        <row r="2385">
          <cell r="G2385" t="str">
            <v>LH4992</v>
          </cell>
          <cell r="H2385" t="str">
            <v>Cartridge Hydraulic Filter</v>
          </cell>
        </row>
        <row r="2386">
          <cell r="G2386" t="str">
            <v>LAF1796</v>
          </cell>
          <cell r="H2386" t="str">
            <v>Metal-End Air Filter with Closed Top End Cap</v>
          </cell>
        </row>
        <row r="2387">
          <cell r="G2387" t="str">
            <v>LH4901</v>
          </cell>
          <cell r="H2387" t="str">
            <v>Cartridge Hydraulic Filter</v>
          </cell>
        </row>
        <row r="2388">
          <cell r="G2388" t="str">
            <v>LAF1998</v>
          </cell>
          <cell r="H2388" t="str">
            <v>Screw On Breather Air Filter</v>
          </cell>
        </row>
        <row r="2389">
          <cell r="G2389" t="str">
            <v>LAF8810</v>
          </cell>
          <cell r="H2389" t="str">
            <v>Disposible Housing Air Filter</v>
          </cell>
        </row>
        <row r="2390">
          <cell r="G2390" t="str">
            <v>LAF8112</v>
          </cell>
          <cell r="H2390" t="str">
            <v>Radial Seal Outer Air Filter</v>
          </cell>
        </row>
        <row r="2391">
          <cell r="G2391" t="str">
            <v>L663F</v>
          </cell>
          <cell r="H2391" t="str">
            <v>Cartridge Fuel Filter</v>
          </cell>
        </row>
        <row r="2392">
          <cell r="G2392" t="str">
            <v>LAF1971</v>
          </cell>
          <cell r="H2392" t="str">
            <v>HD Metal-End Air Filter-Inner</v>
          </cell>
        </row>
        <row r="2393">
          <cell r="G2393" t="str">
            <v>LAF909</v>
          </cell>
          <cell r="H2393" t="str">
            <v>Tube Type Air Filter</v>
          </cell>
        </row>
        <row r="2394">
          <cell r="G2394" t="str">
            <v>P3972</v>
          </cell>
          <cell r="H2394" t="str">
            <v>Cartridge Oil Filter</v>
          </cell>
        </row>
        <row r="2395">
          <cell r="G2395" t="str">
            <v>LAF2543</v>
          </cell>
          <cell r="H2395" t="str">
            <v>HD Metal-End Air Filter</v>
          </cell>
        </row>
        <row r="2396">
          <cell r="G2396" t="str">
            <v>AF7966</v>
          </cell>
          <cell r="H2396" t="str">
            <v>Rigid Panel Air Filter</v>
          </cell>
        </row>
        <row r="2397">
          <cell r="G2397" t="str">
            <v>LAF4272</v>
          </cell>
          <cell r="H2397" t="str">
            <v>Round Air Filter</v>
          </cell>
        </row>
        <row r="2398">
          <cell r="G2398" t="str">
            <v>LAF8218</v>
          </cell>
          <cell r="H2398" t="str">
            <v>HD Metal-End Inner Air Filter</v>
          </cell>
        </row>
        <row r="2399">
          <cell r="G2399" t="str">
            <v>LH4994</v>
          </cell>
          <cell r="H2399" t="str">
            <v>Cartridge Hydraulic Filter</v>
          </cell>
        </row>
        <row r="2400">
          <cell r="G2400" t="str">
            <v>LAF1482</v>
          </cell>
          <cell r="H2400" t="str">
            <v>Air Filter</v>
          </cell>
        </row>
        <row r="2401">
          <cell r="G2401" t="str">
            <v>LAF3785</v>
          </cell>
          <cell r="H2401" t="str">
            <v>Metal-End Air Filter with Closed Top End Cap</v>
          </cell>
        </row>
        <row r="2402">
          <cell r="G2402" t="str">
            <v>LAF528</v>
          </cell>
          <cell r="H2402" t="str">
            <v>Rigid Panel Air Filter</v>
          </cell>
        </row>
        <row r="2403">
          <cell r="G2403" t="str">
            <v>LAF8171</v>
          </cell>
          <cell r="H2403" t="str">
            <v>Metal-End Air Filter with Closed Top End Cap</v>
          </cell>
        </row>
        <row r="2404">
          <cell r="G2404" t="str">
            <v>LAF8515</v>
          </cell>
          <cell r="H2404" t="str">
            <v>HD Round Finned Air Filter with Attached Lid</v>
          </cell>
        </row>
        <row r="2405">
          <cell r="G2405" t="str">
            <v>LAF8838</v>
          </cell>
          <cell r="H2405" t="str">
            <v>Radial Seal Outer Air Filter</v>
          </cell>
        </row>
        <row r="2406">
          <cell r="G2406" t="str">
            <v>LH5007</v>
          </cell>
          <cell r="H2406" t="str">
            <v>Cartridge Hydraulic Filter</v>
          </cell>
        </row>
        <row r="2407">
          <cell r="G2407" t="str">
            <v>LH5008</v>
          </cell>
          <cell r="H2407" t="str">
            <v>Cartridge Hydraulic Filter</v>
          </cell>
        </row>
        <row r="2408">
          <cell r="G2408" t="str">
            <v>LH95282V</v>
          </cell>
          <cell r="H2408" t="str">
            <v>Cartridge Hydraulic Filter</v>
          </cell>
        </row>
        <row r="2409">
          <cell r="G2409" t="str">
            <v>LK208C</v>
          </cell>
          <cell r="H2409" t="str">
            <v>Cummins Engine Maintenance Kit</v>
          </cell>
        </row>
        <row r="2410">
          <cell r="G2410" t="str">
            <v>G6328</v>
          </cell>
          <cell r="H2410" t="str">
            <v>In-Line Fuel Filter</v>
          </cell>
        </row>
        <row r="2411">
          <cell r="G2411" t="str">
            <v>LAF431</v>
          </cell>
          <cell r="H2411" t="str">
            <v>HD Metal-End Air Filter</v>
          </cell>
        </row>
        <row r="2412">
          <cell r="G2412" t="str">
            <v>G4760</v>
          </cell>
          <cell r="H2412" t="str">
            <v>In-Line Fuel Filter</v>
          </cell>
        </row>
        <row r="2413">
          <cell r="G2413" t="str">
            <v>G242</v>
          </cell>
          <cell r="H2413" t="str">
            <v>In-Line Fuel Filter</v>
          </cell>
        </row>
        <row r="2414">
          <cell r="G2414" t="str">
            <v>AF2786</v>
          </cell>
          <cell r="H2414" t="str">
            <v>Flexible Panel Air Filter</v>
          </cell>
        </row>
        <row r="2415">
          <cell r="G2415" t="str">
            <v>CAF7795</v>
          </cell>
          <cell r="H2415" t="str">
            <v>Cabin Air Filter (Carbon)</v>
          </cell>
        </row>
        <row r="2416">
          <cell r="G2416" t="str">
            <v>FP589F</v>
          </cell>
          <cell r="H2416" t="str">
            <v>Spin-on Fuel Filter</v>
          </cell>
        </row>
        <row r="2417">
          <cell r="G2417" t="str">
            <v>AF7894</v>
          </cell>
          <cell r="H2417" t="str">
            <v>Rigid Panel Air Filter</v>
          </cell>
        </row>
        <row r="2418">
          <cell r="G2418" t="str">
            <v>AF4014</v>
          </cell>
          <cell r="H2418" t="str">
            <v>Rigid Panel Air Filter</v>
          </cell>
        </row>
        <row r="2419">
          <cell r="G2419" t="str">
            <v>P829</v>
          </cell>
          <cell r="H2419" t="str">
            <v>Cartridge Oil Filter</v>
          </cell>
        </row>
        <row r="2420">
          <cell r="G2420" t="str">
            <v>AF4007</v>
          </cell>
          <cell r="H2420" t="str">
            <v>Flexible Panel Air Filter</v>
          </cell>
        </row>
        <row r="2421">
          <cell r="G2421" t="str">
            <v>LFF9003</v>
          </cell>
          <cell r="H2421" t="str">
            <v>Bowl Style Fuel Water Separator Filter</v>
          </cell>
        </row>
        <row r="2422">
          <cell r="G2422" t="str">
            <v>CAF1870P</v>
          </cell>
          <cell r="H2422" t="str">
            <v>Cabin Air Filter</v>
          </cell>
        </row>
        <row r="2423">
          <cell r="G2423" t="str">
            <v>LAF1717</v>
          </cell>
          <cell r="H2423" t="str">
            <v>Round Air Filter</v>
          </cell>
        </row>
        <row r="2424">
          <cell r="G2424" t="str">
            <v>LFF3507</v>
          </cell>
          <cell r="H2424" t="str">
            <v>Cartridge Fuel Filter</v>
          </cell>
        </row>
        <row r="2425">
          <cell r="G2425" t="str">
            <v>P2224</v>
          </cell>
          <cell r="H2425" t="str">
            <v>Cartridge Oil Filter</v>
          </cell>
        </row>
        <row r="2426">
          <cell r="G2426" t="str">
            <v>AF1643</v>
          </cell>
          <cell r="H2426" t="str">
            <v>Cone Shaped Conical Air Filter</v>
          </cell>
        </row>
        <row r="2427">
          <cell r="G2427" t="str">
            <v>LAF8603</v>
          </cell>
          <cell r="H2427" t="str">
            <v>HD Round Finned Air Filter with Attached Lid</v>
          </cell>
        </row>
        <row r="2428">
          <cell r="G2428" t="str">
            <v>AF3589</v>
          </cell>
          <cell r="H2428" t="str">
            <v>Flexible Panel Air Filter</v>
          </cell>
        </row>
        <row r="2429">
          <cell r="G2429" t="str">
            <v>P961</v>
          </cell>
          <cell r="H2429" t="str">
            <v>Cartridge Oil Filter</v>
          </cell>
        </row>
        <row r="2430">
          <cell r="G2430" t="str">
            <v>G6351</v>
          </cell>
          <cell r="H2430" t="str">
            <v>In-Line Fuel Filter</v>
          </cell>
        </row>
        <row r="2431">
          <cell r="G2431" t="str">
            <v>AF3217</v>
          </cell>
          <cell r="H2431" t="str">
            <v>Flexible Panel Air Filter</v>
          </cell>
        </row>
        <row r="2432">
          <cell r="G2432" t="str">
            <v>LFF762</v>
          </cell>
          <cell r="H2432" t="str">
            <v>Spin-on Fuel Filter</v>
          </cell>
        </row>
        <row r="2433">
          <cell r="G2433" t="str">
            <v>AF277</v>
          </cell>
          <cell r="H2433" t="str">
            <v>Round Air Filter</v>
          </cell>
        </row>
        <row r="2434">
          <cell r="G2434" t="str">
            <v>AF148</v>
          </cell>
          <cell r="H2434" t="str">
            <v>Round Air Filter</v>
          </cell>
        </row>
        <row r="2435">
          <cell r="G2435" t="str">
            <v>AF5213</v>
          </cell>
          <cell r="H2435" t="str">
            <v>Panel Air Filter</v>
          </cell>
        </row>
        <row r="2436">
          <cell r="G2436" t="str">
            <v>LAF1936</v>
          </cell>
          <cell r="H2436" t="str">
            <v>HD Metal-End Air Filter</v>
          </cell>
        </row>
        <row r="2437">
          <cell r="G2437" t="str">
            <v>AF121</v>
          </cell>
          <cell r="H2437" t="str">
            <v>Round Air Filter</v>
          </cell>
        </row>
        <row r="2438">
          <cell r="G2438" t="str">
            <v>AF7992</v>
          </cell>
          <cell r="H2438" t="str">
            <v>Rigid Panel Air Filter</v>
          </cell>
        </row>
        <row r="2439">
          <cell r="G2439" t="str">
            <v>L43F</v>
          </cell>
          <cell r="H2439" t="str">
            <v>Cartridge Fuel Filter</v>
          </cell>
        </row>
        <row r="2440">
          <cell r="G2440" t="str">
            <v>LAF7530</v>
          </cell>
          <cell r="H2440" t="str">
            <v>Round Inner Air Filter with Flanged Endcap</v>
          </cell>
        </row>
        <row r="2441">
          <cell r="G2441" t="str">
            <v>P828</v>
          </cell>
          <cell r="H2441" t="str">
            <v>Cartridge Oil Filter</v>
          </cell>
        </row>
        <row r="2442">
          <cell r="G2442" t="str">
            <v>LAF1712</v>
          </cell>
          <cell r="H2442" t="str">
            <v>HD Metal-End Air Filter</v>
          </cell>
        </row>
        <row r="2443">
          <cell r="G2443" t="str">
            <v>L23F</v>
          </cell>
          <cell r="H2443" t="str">
            <v>Cartridge Fuel Filter</v>
          </cell>
        </row>
        <row r="2444">
          <cell r="G2444" t="str">
            <v>LMB6926</v>
          </cell>
          <cell r="H2444" t="str">
            <v xml:space="preserve">Spin-on Fuel Conversion Kit for Perkins and Caterpillar engines. Use with LFF6925 fuel filter. </v>
          </cell>
        </row>
        <row r="2445">
          <cell r="G2445" t="str">
            <v>T621</v>
          </cell>
          <cell r="H2445" t="str">
            <v>Transmission Filter Kit</v>
          </cell>
        </row>
        <row r="2446">
          <cell r="G2446" t="str">
            <v>AF115</v>
          </cell>
          <cell r="H2446" t="str">
            <v>Round Air Filter</v>
          </cell>
        </row>
        <row r="2447">
          <cell r="G2447" t="str">
            <v>CAF1811P</v>
          </cell>
          <cell r="H2447" t="str">
            <v>Cabin Air Filter</v>
          </cell>
        </row>
        <row r="2448">
          <cell r="G2448" t="str">
            <v>LAF8816</v>
          </cell>
          <cell r="H2448" t="str">
            <v>Round Inner Air Filter</v>
          </cell>
        </row>
        <row r="2449">
          <cell r="G2449" t="str">
            <v>LAF1859</v>
          </cell>
          <cell r="H2449" t="str">
            <v>HD Round Finned Air Filter with Attached Lid</v>
          </cell>
        </row>
        <row r="2450">
          <cell r="G2450" t="str">
            <v>PC265</v>
          </cell>
          <cell r="H2450" t="str">
            <v>PCV Valve</v>
          </cell>
        </row>
        <row r="2451">
          <cell r="G2451" t="str">
            <v>CAF1790</v>
          </cell>
          <cell r="H2451" t="str">
            <v>Cabin Air Filter</v>
          </cell>
        </row>
        <row r="2452">
          <cell r="G2452" t="str">
            <v>LFP8244</v>
          </cell>
          <cell r="H2452" t="str">
            <v>Spin-on Oil Filter</v>
          </cell>
        </row>
        <row r="2453">
          <cell r="G2453" t="str">
            <v>LH8784G</v>
          </cell>
          <cell r="H2453" t="str">
            <v>Cartridge Hydraulic Filter</v>
          </cell>
        </row>
        <row r="2454">
          <cell r="G2454" t="str">
            <v>AF3076</v>
          </cell>
          <cell r="H2454" t="str">
            <v>Rigid Panel Air Filter</v>
          </cell>
        </row>
        <row r="2455">
          <cell r="G2455" t="str">
            <v>T876</v>
          </cell>
          <cell r="H2455" t="str">
            <v>Transmission Filter Kit</v>
          </cell>
        </row>
        <row r="2456">
          <cell r="G2456" t="str">
            <v>LFP3791</v>
          </cell>
          <cell r="H2456" t="str">
            <v>Spin-on Oil Filter</v>
          </cell>
        </row>
        <row r="2457">
          <cell r="G2457" t="str">
            <v>T165A</v>
          </cell>
          <cell r="H2457" t="str">
            <v>Transmission Filter Kit</v>
          </cell>
        </row>
        <row r="2458">
          <cell r="G2458" t="str">
            <v>LAF8822</v>
          </cell>
          <cell r="H2458" t="str">
            <v>HD Round Finned Air Filter with Attached Lid</v>
          </cell>
        </row>
        <row r="2459">
          <cell r="G2459" t="str">
            <v>AF5249</v>
          </cell>
          <cell r="H2459" t="str">
            <v>Air Filter</v>
          </cell>
        </row>
        <row r="2460">
          <cell r="G2460" t="str">
            <v>AF971</v>
          </cell>
          <cell r="H2460" t="str">
            <v>Flexible Panel Air Filter</v>
          </cell>
        </row>
        <row r="2461">
          <cell r="G2461" t="str">
            <v>CAF1729</v>
          </cell>
          <cell r="H2461" t="str">
            <v>Cabin Air Filter</v>
          </cell>
        </row>
        <row r="2462">
          <cell r="G2462" t="str">
            <v>L7661F</v>
          </cell>
          <cell r="H2462" t="str">
            <v>Cartridge Fuel Filter</v>
          </cell>
        </row>
        <row r="2463">
          <cell r="G2463" t="str">
            <v>LAF8639</v>
          </cell>
          <cell r="H2463" t="str">
            <v>Finned Vane Air Filter</v>
          </cell>
        </row>
        <row r="2464">
          <cell r="G2464" t="str">
            <v>AF322</v>
          </cell>
          <cell r="H2464" t="str">
            <v>Flexible Panel Air Filter</v>
          </cell>
        </row>
        <row r="2465">
          <cell r="G2465" t="str">
            <v>G483</v>
          </cell>
          <cell r="H2465" t="str">
            <v>In-Line Fuel Filter</v>
          </cell>
        </row>
        <row r="2466">
          <cell r="G2466" t="str">
            <v>LAF2540</v>
          </cell>
          <cell r="H2466" t="str">
            <v>HD Metal-End Air Filter</v>
          </cell>
        </row>
        <row r="2467">
          <cell r="G2467" t="str">
            <v>LAF8133</v>
          </cell>
          <cell r="H2467" t="str">
            <v>HD Metal-End Air Filter</v>
          </cell>
        </row>
        <row r="2468">
          <cell r="G2468" t="str">
            <v>LAF6662</v>
          </cell>
          <cell r="H2468" t="str">
            <v>HD Metal-End Air Filter with Attached Lid</v>
          </cell>
        </row>
        <row r="2469">
          <cell r="G2469" t="str">
            <v>LH11009V</v>
          </cell>
          <cell r="H2469" t="str">
            <v>Industrial Cartridge Hydraulic Filter</v>
          </cell>
        </row>
        <row r="2470">
          <cell r="G2470" t="str">
            <v>CAF7767</v>
          </cell>
          <cell r="H2470" t="str">
            <v>Cabin Air Filter (Carbon)</v>
          </cell>
        </row>
        <row r="2471">
          <cell r="G2471" t="str">
            <v>G6342</v>
          </cell>
          <cell r="H2471" t="str">
            <v>In-Line Fuel Filter</v>
          </cell>
        </row>
        <row r="2472">
          <cell r="G2472" t="str">
            <v>LAF6412</v>
          </cell>
          <cell r="H2472" t="str">
            <v>HD Round Finned Air Filter with Attached Lid</v>
          </cell>
        </row>
        <row r="2473">
          <cell r="G2473" t="str">
            <v>LAF8830</v>
          </cell>
          <cell r="H2473" t="str">
            <v>HD Round Finned Air Filter with Attached Lid</v>
          </cell>
        </row>
        <row r="2474">
          <cell r="G2474" t="str">
            <v>PH7025</v>
          </cell>
          <cell r="H2474" t="str">
            <v>Spin-on Oil Filter</v>
          </cell>
        </row>
        <row r="2475">
          <cell r="G2475" t="str">
            <v>T692</v>
          </cell>
          <cell r="H2475" t="str">
            <v>Transmission Filter Kit</v>
          </cell>
        </row>
        <row r="2476">
          <cell r="G2476" t="str">
            <v>G6598</v>
          </cell>
          <cell r="H2476" t="str">
            <v>In-Line Fuel Filter</v>
          </cell>
        </row>
        <row r="2477">
          <cell r="G2477" t="str">
            <v>LAF1736</v>
          </cell>
          <cell r="H2477" t="str">
            <v>HD Round Air Filter with Attached Lid</v>
          </cell>
        </row>
        <row r="2478">
          <cell r="G2478" t="str">
            <v>LAF1866</v>
          </cell>
          <cell r="H2478" t="str">
            <v>Finned Vane Air Filter</v>
          </cell>
        </row>
        <row r="2479">
          <cell r="G2479" t="str">
            <v>LAF4156</v>
          </cell>
          <cell r="H2479" t="str">
            <v>HD Metal-End Inner Air Filter</v>
          </cell>
        </row>
        <row r="2480">
          <cell r="G2480" t="str">
            <v>PH7014</v>
          </cell>
          <cell r="H2480" t="str">
            <v>Spin-on Oil Filter</v>
          </cell>
        </row>
        <row r="2481">
          <cell r="G2481" t="str">
            <v>T155</v>
          </cell>
          <cell r="H2481" t="str">
            <v>Transmission Filter Kit</v>
          </cell>
        </row>
        <row r="2482">
          <cell r="G2482" t="str">
            <v>AF14</v>
          </cell>
          <cell r="H2482" t="str">
            <v>Round Air Filter</v>
          </cell>
        </row>
        <row r="2483">
          <cell r="G2483" t="str">
            <v>AF663</v>
          </cell>
          <cell r="H2483" t="str">
            <v>Round Air Filter</v>
          </cell>
        </row>
        <row r="2484">
          <cell r="G2484" t="str">
            <v>L8188F</v>
          </cell>
          <cell r="H2484" t="str">
            <v>Cartridge Fuel Filter</v>
          </cell>
        </row>
        <row r="2485">
          <cell r="G2485" t="str">
            <v>LAF1012HD</v>
          </cell>
          <cell r="H2485" t="str">
            <v>Round Air Filter</v>
          </cell>
        </row>
        <row r="2486">
          <cell r="G2486" t="str">
            <v>LAF1903</v>
          </cell>
          <cell r="H2486" t="str">
            <v>Round Plastisol Air Filter</v>
          </cell>
        </row>
        <row r="2487">
          <cell r="G2487" t="str">
            <v>LK374T</v>
          </cell>
          <cell r="H2487" t="str">
            <v>Maintenance Kit</v>
          </cell>
        </row>
        <row r="2488">
          <cell r="G2488" t="str">
            <v>AF3105</v>
          </cell>
          <cell r="H2488" t="str">
            <v>Flexible Panel Air Filter</v>
          </cell>
        </row>
        <row r="2489">
          <cell r="G2489" t="str">
            <v>AF402</v>
          </cell>
          <cell r="H2489" t="str">
            <v>Air Filter</v>
          </cell>
        </row>
        <row r="2490">
          <cell r="G2490" t="str">
            <v>CAF1861P</v>
          </cell>
          <cell r="H2490" t="str">
            <v>Cabin Air Filter</v>
          </cell>
        </row>
        <row r="2491">
          <cell r="G2491" t="str">
            <v>G2957</v>
          </cell>
          <cell r="H2491" t="str">
            <v>In-Line Fuel Filter</v>
          </cell>
        </row>
        <row r="2492">
          <cell r="G2492" t="str">
            <v>L5845F</v>
          </cell>
          <cell r="H2492" t="str">
            <v>Cartridge Fuel Filter</v>
          </cell>
        </row>
        <row r="2493">
          <cell r="G2493" t="str">
            <v>LAF1815</v>
          </cell>
          <cell r="H2493" t="str">
            <v>HD Metal-End Air Filter</v>
          </cell>
        </row>
        <row r="2494">
          <cell r="G2494" t="str">
            <v>LAF1857</v>
          </cell>
          <cell r="H2494" t="str">
            <v>Finned Vane Air Filter</v>
          </cell>
        </row>
        <row r="2495">
          <cell r="G2495" t="str">
            <v>LAF8731</v>
          </cell>
          <cell r="H2495" t="str">
            <v>Radial Seal Inner Air Filter</v>
          </cell>
        </row>
        <row r="2496">
          <cell r="G2496" t="str">
            <v>LFF8813</v>
          </cell>
          <cell r="H2496" t="str">
            <v>Spin-on Fuel Filter</v>
          </cell>
        </row>
        <row r="2497">
          <cell r="G2497" t="str">
            <v>LFH8596</v>
          </cell>
          <cell r="H2497" t="str">
            <v>Spin-on Hydraulic Filter</v>
          </cell>
        </row>
        <row r="2498">
          <cell r="G2498" t="str">
            <v>LFH8758</v>
          </cell>
          <cell r="H2498" t="str">
            <v>Spin-on Hydraulic Filter</v>
          </cell>
        </row>
        <row r="2499">
          <cell r="G2499" t="str">
            <v>LH22123</v>
          </cell>
          <cell r="H2499" t="str">
            <v>Industrial Cartridge Hydraulic Filter</v>
          </cell>
        </row>
        <row r="2500">
          <cell r="G2500" t="str">
            <v>LK298D</v>
          </cell>
          <cell r="H2500" t="str">
            <v>Detroit Diesel Engine Maintenance Kit</v>
          </cell>
        </row>
        <row r="2501">
          <cell r="G2501" t="str">
            <v>LP5912</v>
          </cell>
          <cell r="H2501" t="str">
            <v>Cartridge Oil Filter</v>
          </cell>
        </row>
        <row r="2502">
          <cell r="G2502" t="str">
            <v>LP8720</v>
          </cell>
          <cell r="H2502" t="str">
            <v>Cartridge Oil Filter</v>
          </cell>
        </row>
        <row r="2503">
          <cell r="G2503" t="str">
            <v>CAF1701</v>
          </cell>
          <cell r="H2503" t="str">
            <v>Cabin Air Filter</v>
          </cell>
        </row>
        <row r="2504">
          <cell r="G2504" t="str">
            <v>AF389</v>
          </cell>
          <cell r="H2504" t="str">
            <v>Flexible Media Air Filter</v>
          </cell>
        </row>
        <row r="2505">
          <cell r="G2505">
            <v>750</v>
          </cell>
          <cell r="H2505" t="str">
            <v>Cover w/1 Plug Hole, 750-C, CT, 3C</v>
          </cell>
        </row>
        <row r="2506">
          <cell r="G2506" t="str">
            <v>DRAIN</v>
          </cell>
          <cell r="H2506" t="str">
            <v>Drain Cock, Standard w/o Hose Nipple/500-B, C, 750-B, C</v>
          </cell>
        </row>
        <row r="2507">
          <cell r="G2507" t="str">
            <v>AF1111</v>
          </cell>
          <cell r="H2507" t="str">
            <v>Flexible Panel Air Filter</v>
          </cell>
        </row>
        <row r="2508">
          <cell r="G2508" t="str">
            <v>G6380</v>
          </cell>
          <cell r="H2508" t="str">
            <v>In-Line Fuel Filter</v>
          </cell>
        </row>
        <row r="2509">
          <cell r="G2509" t="str">
            <v>CAF1839P</v>
          </cell>
          <cell r="H2509" t="str">
            <v>Cabin Air Filter</v>
          </cell>
        </row>
        <row r="2510">
          <cell r="G2510" t="str">
            <v>AF4027</v>
          </cell>
          <cell r="H2510" t="str">
            <v>Rigid Panel Air Filter</v>
          </cell>
        </row>
        <row r="2511">
          <cell r="G2511" t="str">
            <v>PH2009</v>
          </cell>
          <cell r="H2511" t="str">
            <v>Spin-on Oil Filter</v>
          </cell>
        </row>
        <row r="2512">
          <cell r="G2512" t="str">
            <v>CAF1862P</v>
          </cell>
          <cell r="H2512" t="str">
            <v>Cabin Air Filter</v>
          </cell>
        </row>
        <row r="2513">
          <cell r="G2513" t="str">
            <v>CAF1880P</v>
          </cell>
          <cell r="H2513" t="str">
            <v>Cabin Air Filter</v>
          </cell>
        </row>
        <row r="2514">
          <cell r="G2514" t="str">
            <v>AF1688</v>
          </cell>
          <cell r="H2514" t="str">
            <v>Flexible Panel Air Filter</v>
          </cell>
        </row>
        <row r="2515">
          <cell r="G2515" t="str">
            <v>CAF1779</v>
          </cell>
          <cell r="H2515" t="str">
            <v>Cabin Air Filter</v>
          </cell>
        </row>
        <row r="2516">
          <cell r="G2516" t="str">
            <v>AF4897</v>
          </cell>
          <cell r="H2516" t="str">
            <v>Flexible Panel Air Filter</v>
          </cell>
        </row>
        <row r="2517">
          <cell r="G2517" t="str">
            <v>P838</v>
          </cell>
          <cell r="H2517" t="str">
            <v>Cartridge Oil Filter</v>
          </cell>
        </row>
        <row r="2518">
          <cell r="G2518" t="str">
            <v>AF4042</v>
          </cell>
          <cell r="H2518" t="str">
            <v>Panel Air Irregular Shaped Filter</v>
          </cell>
        </row>
        <row r="2519">
          <cell r="G2519" t="str">
            <v>AF7971</v>
          </cell>
          <cell r="H2519" t="str">
            <v>Flexible Panel Air Filter</v>
          </cell>
        </row>
        <row r="2520">
          <cell r="G2520" t="str">
            <v>CAF7792</v>
          </cell>
          <cell r="H2520" t="str">
            <v>Cabin Air Filter (Carbon)</v>
          </cell>
        </row>
        <row r="2521">
          <cell r="G2521" t="str">
            <v>CAF1877C</v>
          </cell>
          <cell r="H2521" t="str">
            <v>Cabin Air Filter (Carbon)</v>
          </cell>
        </row>
        <row r="2522">
          <cell r="G2522" t="str">
            <v>PC285</v>
          </cell>
          <cell r="H2522" t="str">
            <v>PCV Valve</v>
          </cell>
        </row>
        <row r="2523">
          <cell r="G2523" t="str">
            <v>AF4009</v>
          </cell>
          <cell r="H2523" t="str">
            <v>Rigid Panel Air Filter</v>
          </cell>
        </row>
        <row r="2524">
          <cell r="G2524" t="str">
            <v>P178</v>
          </cell>
          <cell r="H2524" t="str">
            <v>Cartridge Oil Filter</v>
          </cell>
        </row>
        <row r="2525">
          <cell r="G2525" t="str">
            <v>CAF1749</v>
          </cell>
          <cell r="H2525" t="str">
            <v>Cabin Air Filter</v>
          </cell>
        </row>
        <row r="2526">
          <cell r="G2526" t="str">
            <v>LFH4961</v>
          </cell>
          <cell r="H2526" t="str">
            <v>Spin-on Hydraulic Filter</v>
          </cell>
        </row>
        <row r="2527">
          <cell r="G2527" t="str">
            <v>CAF1824P</v>
          </cell>
          <cell r="H2527" t="str">
            <v>Cabin Air Filter</v>
          </cell>
        </row>
        <row r="2528">
          <cell r="G2528" t="str">
            <v>AF3906</v>
          </cell>
          <cell r="H2528" t="str">
            <v>Flexible Panel Air Filter</v>
          </cell>
        </row>
        <row r="2529">
          <cell r="G2529" t="str">
            <v>AF603</v>
          </cell>
          <cell r="H2529" t="str">
            <v>Oval Air Filter</v>
          </cell>
        </row>
        <row r="2530">
          <cell r="G2530" t="str">
            <v>AF7842</v>
          </cell>
          <cell r="H2530" t="str">
            <v>Rigid Panel Air Filter</v>
          </cell>
        </row>
        <row r="2531">
          <cell r="G2531" t="str">
            <v>LAF45</v>
          </cell>
          <cell r="H2531" t="str">
            <v>HD Metal-End Air Filter</v>
          </cell>
        </row>
        <row r="2532">
          <cell r="G2532" t="str">
            <v>LAF8625</v>
          </cell>
          <cell r="H2532" t="str">
            <v>Round Air Filter</v>
          </cell>
        </row>
        <row r="2533">
          <cell r="G2533" t="str">
            <v>LH4918</v>
          </cell>
          <cell r="H2533" t="str">
            <v>Cartridge Hydraulic Filter</v>
          </cell>
        </row>
        <row r="2534">
          <cell r="G2534" t="str">
            <v>CAF1944P</v>
          </cell>
          <cell r="H2534" t="str">
            <v>Cabin Air Filter</v>
          </cell>
        </row>
        <row r="2535">
          <cell r="G2535" t="str">
            <v>AF3927</v>
          </cell>
          <cell r="H2535" t="str">
            <v>Air Filter</v>
          </cell>
        </row>
        <row r="2536">
          <cell r="G2536" t="str">
            <v>G6340</v>
          </cell>
          <cell r="H2536" t="str">
            <v>In-Line Fuel Filter</v>
          </cell>
        </row>
        <row r="2537">
          <cell r="G2537" t="str">
            <v>LAF1802</v>
          </cell>
          <cell r="H2537" t="str">
            <v>Cone Shaped Conical Air Filter</v>
          </cell>
        </row>
        <row r="2538">
          <cell r="G2538" t="str">
            <v>LFF1005</v>
          </cell>
          <cell r="H2538" t="str">
            <v>Spin-on Fuel Filter</v>
          </cell>
        </row>
        <row r="2539">
          <cell r="G2539" t="str">
            <v>LH9403V</v>
          </cell>
          <cell r="H2539" t="str">
            <v>Industrial Cartridge Hydraulic Filter</v>
          </cell>
        </row>
        <row r="2540">
          <cell r="G2540" t="str">
            <v>CAF1841P</v>
          </cell>
          <cell r="H2540" t="str">
            <v>Cabin Air Filter</v>
          </cell>
        </row>
        <row r="2541">
          <cell r="G2541" t="str">
            <v>LAF46</v>
          </cell>
          <cell r="H2541" t="str">
            <v>Round Inner Air Filter with Flanged Endcap</v>
          </cell>
        </row>
        <row r="2542">
          <cell r="G2542" t="str">
            <v>LFH7551</v>
          </cell>
          <cell r="H2542" t="str">
            <v>Spin-on Hydraulic Filter</v>
          </cell>
        </row>
        <row r="2543">
          <cell r="G2543" t="str">
            <v>LAF8599</v>
          </cell>
          <cell r="H2543" t="str">
            <v>Round Air Filter</v>
          </cell>
        </row>
        <row r="2544">
          <cell r="G2544" t="str">
            <v>PC272</v>
          </cell>
          <cell r="H2544" t="str">
            <v>PCV Valve</v>
          </cell>
        </row>
        <row r="2545">
          <cell r="G2545" t="str">
            <v>AF7837</v>
          </cell>
          <cell r="H2545" t="str">
            <v>Rigid Panel Air Filter</v>
          </cell>
        </row>
        <row r="2546">
          <cell r="G2546" t="str">
            <v>AF8267</v>
          </cell>
          <cell r="H2546" t="str">
            <v>Flexible Panel Air Filter</v>
          </cell>
        </row>
        <row r="2547">
          <cell r="G2547" t="str">
            <v>CAF1744</v>
          </cell>
          <cell r="H2547" t="str">
            <v>Cabin Air Filter</v>
          </cell>
        </row>
        <row r="2548">
          <cell r="G2548" t="str">
            <v>LAF24</v>
          </cell>
          <cell r="H2548" t="str">
            <v>Tube Type Air Filter</v>
          </cell>
        </row>
        <row r="2549">
          <cell r="G2549" t="str">
            <v>LFH4951</v>
          </cell>
          <cell r="H2549" t="str">
            <v>Spin-on Hydraulic Filter</v>
          </cell>
        </row>
        <row r="2550">
          <cell r="G2550" t="str">
            <v>LP712</v>
          </cell>
          <cell r="H2550" t="str">
            <v>Cartridge Oil Filter</v>
          </cell>
        </row>
        <row r="2551">
          <cell r="G2551" t="str">
            <v>LH4264</v>
          </cell>
          <cell r="H2551" t="str">
            <v>Cartridge Hydraulic Filter</v>
          </cell>
        </row>
        <row r="2552">
          <cell r="G2552" t="str">
            <v>LAF8301</v>
          </cell>
          <cell r="H2552" t="str">
            <v>Disposible Housing Air Filter</v>
          </cell>
        </row>
        <row r="2553">
          <cell r="G2553" t="str">
            <v>LAF8619</v>
          </cell>
          <cell r="H2553" t="str">
            <v>Finned Vane Air Filter</v>
          </cell>
        </row>
        <row r="2554">
          <cell r="G2554" t="str">
            <v>AF74A</v>
          </cell>
          <cell r="H2554" t="str">
            <v>Round Air Filter</v>
          </cell>
        </row>
        <row r="2555">
          <cell r="G2555" t="str">
            <v>LAF5343</v>
          </cell>
          <cell r="H2555" t="str">
            <v>Panel Air Filter Metal Framed</v>
          </cell>
        </row>
        <row r="2556">
          <cell r="G2556" t="str">
            <v>LAF8039</v>
          </cell>
          <cell r="H2556" t="str">
            <v>HD Metal-End Air Filter with Attached Lid</v>
          </cell>
        </row>
        <row r="2557">
          <cell r="G2557" t="str">
            <v>LAF5298</v>
          </cell>
          <cell r="H2557" t="str">
            <v>Corrugated Media Air Filter</v>
          </cell>
        </row>
        <row r="2558">
          <cell r="G2558" t="str">
            <v>LAF8421</v>
          </cell>
          <cell r="H2558" t="str">
            <v>Oval Air Filter</v>
          </cell>
        </row>
        <row r="2559">
          <cell r="G2559" t="str">
            <v>L1168F</v>
          </cell>
          <cell r="H2559" t="str">
            <v>Cartridge Fuel Filter</v>
          </cell>
        </row>
        <row r="2560">
          <cell r="G2560" t="str">
            <v>LAF1887</v>
          </cell>
          <cell r="H2560" t="str">
            <v>HD Round Air Filter with Attached Boot</v>
          </cell>
        </row>
        <row r="2561">
          <cell r="G2561" t="str">
            <v>L8262F</v>
          </cell>
          <cell r="H2561" t="str">
            <v>Cartridge Fuel Filter</v>
          </cell>
        </row>
        <row r="2562">
          <cell r="G2562" t="str">
            <v>LAF1878MXM</v>
          </cell>
          <cell r="H2562" t="str">
            <v>Nano Tech HD Metal-End Air Filter Outer</v>
          </cell>
        </row>
        <row r="2563">
          <cell r="G2563" t="str">
            <v>LAF262</v>
          </cell>
          <cell r="H2563" t="str">
            <v>HD Metal-End Air Filter</v>
          </cell>
        </row>
        <row r="2564">
          <cell r="G2564" t="str">
            <v>LAF3657</v>
          </cell>
          <cell r="H2564" t="str">
            <v>HD Metal-End Inner Air Filter</v>
          </cell>
        </row>
        <row r="2565">
          <cell r="G2565" t="str">
            <v>AF7871</v>
          </cell>
          <cell r="H2565" t="str">
            <v>Flexible Panel Air Filter</v>
          </cell>
        </row>
        <row r="2566">
          <cell r="G2566" t="str">
            <v>LAF3233FR</v>
          </cell>
          <cell r="H2566" t="str">
            <v>Corrugated Media Air Filter</v>
          </cell>
        </row>
        <row r="2567">
          <cell r="G2567" t="str">
            <v>LAF8339</v>
          </cell>
          <cell r="H2567" t="str">
            <v>HD Metal-End Inner Air Filter</v>
          </cell>
        </row>
        <row r="2568">
          <cell r="G2568" t="str">
            <v>LAF2484</v>
          </cell>
          <cell r="H2568" t="str">
            <v>HD Metal-End Air Filter</v>
          </cell>
        </row>
        <row r="2569">
          <cell r="G2569" t="str">
            <v>LAF3902</v>
          </cell>
          <cell r="H2569" t="str">
            <v>Round Inner Air Filter with Flanged Endcap</v>
          </cell>
        </row>
        <row r="2570">
          <cell r="G2570" t="str">
            <v>LAF8617</v>
          </cell>
          <cell r="H2570" t="str">
            <v>HD Metal-End Air Filter</v>
          </cell>
        </row>
        <row r="2571">
          <cell r="G2571" t="str">
            <v>P7027</v>
          </cell>
          <cell r="H2571" t="str">
            <v>Cartridge Oil Filter</v>
          </cell>
        </row>
        <row r="2572">
          <cell r="G2572" t="str">
            <v>LAF1777</v>
          </cell>
          <cell r="H2572" t="str">
            <v>Round Inner Air Filter</v>
          </cell>
        </row>
        <row r="2573">
          <cell r="G2573" t="str">
            <v>LAF1955</v>
          </cell>
          <cell r="H2573" t="str">
            <v>HD Metal-End Air Filter</v>
          </cell>
        </row>
        <row r="2574">
          <cell r="G2574" t="str">
            <v>LAF3953</v>
          </cell>
          <cell r="H2574" t="str">
            <v>HD Metal-End Air Filter</v>
          </cell>
        </row>
        <row r="2575">
          <cell r="G2575" t="str">
            <v>LAF4312</v>
          </cell>
          <cell r="H2575" t="str">
            <v>HD Metal-End Air Filter with Attached Lid</v>
          </cell>
        </row>
        <row r="2576">
          <cell r="G2576" t="str">
            <v>LAF8354</v>
          </cell>
          <cell r="H2576" t="str">
            <v>HD Metal-End Air Filter-Inner</v>
          </cell>
        </row>
        <row r="2577">
          <cell r="G2577" t="str">
            <v>LK3M</v>
          </cell>
          <cell r="H2577" t="str">
            <v>Mack Engine Maintenance Kit</v>
          </cell>
        </row>
        <row r="2578">
          <cell r="G2578" t="str">
            <v>LP92HD</v>
          </cell>
          <cell r="H2578" t="str">
            <v>Cartridge Oil Filter</v>
          </cell>
        </row>
        <row r="2579">
          <cell r="G2579" t="str">
            <v>CAF1828P</v>
          </cell>
          <cell r="H2579" t="str">
            <v>Cabin Air Filter</v>
          </cell>
        </row>
        <row r="2580">
          <cell r="G2580" t="str">
            <v>LAF1749</v>
          </cell>
          <cell r="H2580" t="str">
            <v>HD Metal-End Air Filter</v>
          </cell>
        </row>
        <row r="2581">
          <cell r="G2581" t="str">
            <v>LAF22049</v>
          </cell>
          <cell r="H2581" t="str">
            <v>Oval Air Filter</v>
          </cell>
        </row>
        <row r="2582">
          <cell r="G2582" t="str">
            <v>LAF3119</v>
          </cell>
          <cell r="H2582" t="str">
            <v>HD Metal-End Air Filter</v>
          </cell>
        </row>
        <row r="2583">
          <cell r="G2583" t="str">
            <v>LAF3402</v>
          </cell>
          <cell r="H2583" t="str">
            <v>HD Metal-End Air Filter</v>
          </cell>
        </row>
        <row r="2584">
          <cell r="G2584" t="str">
            <v>LAF8238</v>
          </cell>
          <cell r="H2584" t="str">
            <v>HD Metal-End Inner Air Filter</v>
          </cell>
        </row>
        <row r="2585">
          <cell r="G2585" t="str">
            <v>LAF8802</v>
          </cell>
          <cell r="H2585" t="str">
            <v>Finned Vane Air Filter With Attached Lid</v>
          </cell>
        </row>
        <row r="2586">
          <cell r="G2586" t="str">
            <v>G6633</v>
          </cell>
          <cell r="H2586" t="str">
            <v>In-Line Fuel Filter</v>
          </cell>
        </row>
        <row r="2587">
          <cell r="G2587" t="str">
            <v>L899BSP</v>
          </cell>
          <cell r="H2587" t="str">
            <v>Racor INRK-21057; Glass bowl w/Sensor used on LFF5824B and LF3579.</v>
          </cell>
        </row>
        <row r="2588">
          <cell r="G2588" t="str">
            <v>LAF1729</v>
          </cell>
          <cell r="H2588" t="str">
            <v>HD Metal-End Air Filter</v>
          </cell>
        </row>
        <row r="2589">
          <cell r="G2589" t="str">
            <v>LAF1773</v>
          </cell>
          <cell r="H2589" t="str">
            <v>HD Metal-End Air Filter</v>
          </cell>
        </row>
        <row r="2590">
          <cell r="G2590" t="str">
            <v>LAF1953MXM</v>
          </cell>
          <cell r="H2590" t="str">
            <v>Nano Tech HD Metal-End Air Filter Outer</v>
          </cell>
        </row>
        <row r="2591">
          <cell r="G2591" t="str">
            <v>LAF2736</v>
          </cell>
          <cell r="H2591" t="str">
            <v>HD Metal-End Inner Air Filter</v>
          </cell>
        </row>
        <row r="2592">
          <cell r="G2592" t="str">
            <v>LAF2753</v>
          </cell>
          <cell r="H2592" t="str">
            <v>Oval Air Filter</v>
          </cell>
        </row>
        <row r="2593">
          <cell r="G2593" t="str">
            <v>LAF41</v>
          </cell>
          <cell r="H2593" t="str">
            <v>HD Metal-End Air Filter</v>
          </cell>
        </row>
        <row r="2594">
          <cell r="G2594" t="str">
            <v>LAF4162</v>
          </cell>
          <cell r="H2594" t="str">
            <v>Disposible Housing Air Filter</v>
          </cell>
        </row>
        <row r="2595">
          <cell r="G2595" t="str">
            <v>LAF5785</v>
          </cell>
          <cell r="H2595" t="str">
            <v>HD Round Finned Air Filter with Attached Lid</v>
          </cell>
        </row>
        <row r="2596">
          <cell r="G2596" t="str">
            <v>LAF8429</v>
          </cell>
          <cell r="H2596" t="str">
            <v>Flexible Panel Air Filter</v>
          </cell>
        </row>
        <row r="2597">
          <cell r="G2597" t="str">
            <v>LAF8829</v>
          </cell>
          <cell r="H2597" t="str">
            <v>HD Round Finned Air Filter with Attached Lid</v>
          </cell>
        </row>
        <row r="2598">
          <cell r="G2598" t="str">
            <v>LP155</v>
          </cell>
          <cell r="H2598" t="str">
            <v>Cartridge Oil Filter</v>
          </cell>
        </row>
        <row r="2599">
          <cell r="G2599" t="str">
            <v>LP4458</v>
          </cell>
          <cell r="H2599" t="str">
            <v>Cartridge Hydraulic Filter</v>
          </cell>
        </row>
        <row r="2600">
          <cell r="G2600" t="str">
            <v>T544</v>
          </cell>
          <cell r="H2600" t="str">
            <v>Transmission Filter Kit</v>
          </cell>
        </row>
        <row r="2601">
          <cell r="G2601" t="str">
            <v>P119</v>
          </cell>
          <cell r="H2601" t="str">
            <v>Cartridge Oil Filter</v>
          </cell>
        </row>
        <row r="2602">
          <cell r="G2602">
            <v>700</v>
          </cell>
          <cell r="H2602" t="str">
            <v>Oliver K-5507, M-5507, 1K-5507, 1M-5507, 100125A; Oliver, Waukesha</v>
          </cell>
        </row>
        <row r="2603">
          <cell r="G2603">
            <v>500</v>
          </cell>
          <cell r="H2603" t="str">
            <v>Cover w/3 Plug Holes for Horizontal Mount/500-C</v>
          </cell>
        </row>
        <row r="2604">
          <cell r="G2604">
            <v>750</v>
          </cell>
          <cell r="H2604" t="str">
            <v>Cover w/3 Plug Holes for Horizontal Mount/750-C</v>
          </cell>
        </row>
        <row r="2605">
          <cell r="G2605" t="str">
            <v>LFH8417G</v>
          </cell>
          <cell r="H2605" t="str">
            <v>Spin-on Hydraulic Filter</v>
          </cell>
        </row>
        <row r="2606">
          <cell r="G2606" t="str">
            <v>G6394</v>
          </cell>
          <cell r="H2606" t="str">
            <v>In-Line Fuel Filter</v>
          </cell>
        </row>
        <row r="2607">
          <cell r="G2607" t="str">
            <v>LFH5721</v>
          </cell>
          <cell r="H2607" t="str">
            <v>Spin-on Hydraulic Filter</v>
          </cell>
        </row>
        <row r="2608">
          <cell r="G2608" t="str">
            <v>AF4033</v>
          </cell>
          <cell r="H2608" t="str">
            <v>Rigid Panel Air Filter</v>
          </cell>
        </row>
        <row r="2609">
          <cell r="G2609" t="str">
            <v>AF7999</v>
          </cell>
          <cell r="H2609" t="str">
            <v>Flexible Panel Air Filter</v>
          </cell>
        </row>
        <row r="2610">
          <cell r="G2610" t="str">
            <v>LFP5925</v>
          </cell>
          <cell r="H2610" t="str">
            <v>Spin-on Oil Filter</v>
          </cell>
        </row>
        <row r="2611">
          <cell r="G2611" t="str">
            <v>AF4028</v>
          </cell>
          <cell r="H2611" t="str">
            <v>Rigid Panel Air Filter</v>
          </cell>
        </row>
        <row r="2612">
          <cell r="G2612" t="str">
            <v>AF7911</v>
          </cell>
          <cell r="H2612" t="str">
            <v>Rigid Panel Air Filter</v>
          </cell>
        </row>
        <row r="2613">
          <cell r="G2613" t="str">
            <v>PC217</v>
          </cell>
          <cell r="H2613" t="str">
            <v>PCV Valve</v>
          </cell>
        </row>
        <row r="2614">
          <cell r="G2614" t="str">
            <v>CAF1708</v>
          </cell>
          <cell r="H2614" t="str">
            <v>Cabin Air Filter</v>
          </cell>
        </row>
        <row r="2615">
          <cell r="G2615" t="str">
            <v>AF3965</v>
          </cell>
          <cell r="H2615" t="str">
            <v>Panel Air Irregular Shaped Filter</v>
          </cell>
        </row>
        <row r="2616">
          <cell r="G2616" t="str">
            <v>AF411</v>
          </cell>
          <cell r="H2616" t="str">
            <v>Round Air Filter</v>
          </cell>
        </row>
        <row r="2617">
          <cell r="G2617" t="str">
            <v>LAF1818</v>
          </cell>
          <cell r="H2617" t="str">
            <v>HD Round Air Filter with Attached Boot</v>
          </cell>
        </row>
        <row r="2618">
          <cell r="G2618" t="str">
            <v>PH2992</v>
          </cell>
          <cell r="H2618" t="str">
            <v>Spin-on Oil Filter</v>
          </cell>
        </row>
        <row r="2619">
          <cell r="G2619" t="str">
            <v>CAF1789</v>
          </cell>
          <cell r="H2619" t="str">
            <v>Cabin Air Filter</v>
          </cell>
        </row>
        <row r="2620">
          <cell r="G2620" t="str">
            <v>L5944F</v>
          </cell>
          <cell r="H2620" t="str">
            <v>Cartridge Fuel Filter</v>
          </cell>
        </row>
        <row r="2621">
          <cell r="G2621" t="str">
            <v>LAF9086MXM</v>
          </cell>
          <cell r="H2621" t="str">
            <v xml:space="preserve">Nano Tech Air Filter HD Metal-End </v>
          </cell>
        </row>
        <row r="2622">
          <cell r="G2622" t="str">
            <v>LAF5518</v>
          </cell>
          <cell r="H2622" t="str">
            <v>HD Round Air Filter with Attached Boot</v>
          </cell>
        </row>
        <row r="2623">
          <cell r="G2623" t="str">
            <v>CAF7796</v>
          </cell>
          <cell r="H2623" t="str">
            <v>Cabin Air Filter (Carbon)</v>
          </cell>
        </row>
        <row r="2624">
          <cell r="G2624" t="str">
            <v>LP2214</v>
          </cell>
          <cell r="H2624" t="str">
            <v>Cartridge Oil Filter</v>
          </cell>
        </row>
        <row r="2625">
          <cell r="G2625" t="str">
            <v>LAF5526</v>
          </cell>
          <cell r="H2625" t="str">
            <v>HD Metal-End Inner Air Filter</v>
          </cell>
        </row>
        <row r="2626">
          <cell r="G2626" t="str">
            <v>AF5699</v>
          </cell>
          <cell r="H2626" t="str">
            <v>Air Filter</v>
          </cell>
        </row>
        <row r="2627">
          <cell r="G2627" t="str">
            <v>P106</v>
          </cell>
          <cell r="H2627" t="str">
            <v>Cartridge Oil Filter</v>
          </cell>
        </row>
        <row r="2628">
          <cell r="G2628" t="str">
            <v>P830</v>
          </cell>
          <cell r="H2628" t="str">
            <v>Cartridge Oil Filter</v>
          </cell>
        </row>
        <row r="2629">
          <cell r="G2629" t="str">
            <v>LH5181V</v>
          </cell>
          <cell r="H2629" t="str">
            <v>Industrial Cartridge Hydraulic Filter</v>
          </cell>
        </row>
        <row r="2630">
          <cell r="G2630" t="str">
            <v>AF7997</v>
          </cell>
          <cell r="H2630" t="str">
            <v>Flexible Panel Air Filter</v>
          </cell>
        </row>
        <row r="2631">
          <cell r="G2631" t="str">
            <v>CAF1829P</v>
          </cell>
          <cell r="H2631" t="str">
            <v>Cabin Air Filter</v>
          </cell>
        </row>
        <row r="2632">
          <cell r="G2632" t="str">
            <v>LAF8767</v>
          </cell>
          <cell r="H2632" t="str">
            <v>HD Round Air Filter with Attached Boot</v>
          </cell>
        </row>
        <row r="2633">
          <cell r="G2633" t="str">
            <v>LAF1136</v>
          </cell>
          <cell r="H2633" t="str">
            <v>Round Inner Air Filter</v>
          </cell>
        </row>
        <row r="2634">
          <cell r="G2634" t="str">
            <v>P935</v>
          </cell>
          <cell r="H2634" t="str">
            <v>Cartridge Oil Filter</v>
          </cell>
        </row>
        <row r="2635">
          <cell r="G2635" t="str">
            <v>LAF8663</v>
          </cell>
          <cell r="H2635" t="str">
            <v>HD Metal-End Inner Air Filter</v>
          </cell>
        </row>
        <row r="2636">
          <cell r="G2636" t="str">
            <v>CAF1821P</v>
          </cell>
          <cell r="H2636" t="str">
            <v>Cabin Air Filter</v>
          </cell>
        </row>
        <row r="2637">
          <cell r="G2637" t="str">
            <v>PC190</v>
          </cell>
          <cell r="H2637" t="str">
            <v>PCV Valve</v>
          </cell>
        </row>
        <row r="2638">
          <cell r="G2638" t="str">
            <v>LAF3865</v>
          </cell>
          <cell r="H2638" t="str">
            <v>Radial Seal Inner Air Filter</v>
          </cell>
        </row>
        <row r="2639">
          <cell r="G2639" t="str">
            <v>LAF1806</v>
          </cell>
          <cell r="H2639" t="str">
            <v>Metal-End Air Filter with Closed Top End Cap</v>
          </cell>
        </row>
        <row r="2640">
          <cell r="G2640" t="str">
            <v>LAF3702</v>
          </cell>
          <cell r="H2640" t="str">
            <v>HD Round Air Filter with Attached Lid</v>
          </cell>
        </row>
        <row r="2641">
          <cell r="G2641" t="str">
            <v>LAF9541</v>
          </cell>
          <cell r="H2641" t="str">
            <v>Disposible Housing Air Filter</v>
          </cell>
        </row>
        <row r="2642">
          <cell r="G2642" t="str">
            <v>CAF7742</v>
          </cell>
          <cell r="H2642" t="str">
            <v>Cabin Air Filter (Carbon)</v>
          </cell>
        </row>
        <row r="2643">
          <cell r="G2643" t="str">
            <v>LH11024V</v>
          </cell>
          <cell r="H2643" t="str">
            <v>Industrial Cartridge Hydraulic Filter</v>
          </cell>
        </row>
        <row r="2644">
          <cell r="G2644" t="str">
            <v>LAF1481</v>
          </cell>
          <cell r="H2644" t="str">
            <v>HD Metal-End Air Filter</v>
          </cell>
        </row>
        <row r="2645">
          <cell r="G2645" t="str">
            <v>LAF22024</v>
          </cell>
          <cell r="H2645" t="str">
            <v>Oval Air Filter</v>
          </cell>
        </row>
        <row r="2646">
          <cell r="G2646" t="str">
            <v>LAF5799</v>
          </cell>
          <cell r="H2646" t="str">
            <v>Flexible Panel Air Filter</v>
          </cell>
        </row>
        <row r="2647">
          <cell r="G2647" t="str">
            <v>LK253M</v>
          </cell>
          <cell r="H2647" t="str">
            <v>Mack Engine Maintenance Kit</v>
          </cell>
        </row>
        <row r="2648">
          <cell r="G2648" t="str">
            <v>CAF1793</v>
          </cell>
          <cell r="H2648" t="str">
            <v>Cabin Air Filter</v>
          </cell>
        </row>
        <row r="2649">
          <cell r="G2649" t="str">
            <v>CAF1808P</v>
          </cell>
          <cell r="H2649" t="str">
            <v>Cabin Air Filter</v>
          </cell>
        </row>
        <row r="2650">
          <cell r="G2650" t="str">
            <v>LP2302</v>
          </cell>
          <cell r="H2650" t="str">
            <v>Cartridge Hydraulic Filter</v>
          </cell>
        </row>
        <row r="2651">
          <cell r="G2651" t="str">
            <v>PC420</v>
          </cell>
          <cell r="H2651" t="str">
            <v>PCV Valve</v>
          </cell>
        </row>
        <row r="2652">
          <cell r="G2652" t="str">
            <v>PC775</v>
          </cell>
          <cell r="H2652" t="str">
            <v>PCV Valve</v>
          </cell>
        </row>
        <row r="2653">
          <cell r="G2653" t="str">
            <v>LFH4472</v>
          </cell>
          <cell r="H2653" t="str">
            <v>Spin-on Hydraulic Filter</v>
          </cell>
        </row>
        <row r="2654">
          <cell r="G2654" t="str">
            <v>LFP5853</v>
          </cell>
          <cell r="H2654" t="str">
            <v>Spin-on Oil Filter</v>
          </cell>
        </row>
        <row r="2655">
          <cell r="G2655" t="str">
            <v>CAF1746</v>
          </cell>
          <cell r="H2655" t="str">
            <v>Cabin Air Filter</v>
          </cell>
        </row>
        <row r="2656">
          <cell r="G2656" t="str">
            <v>G2977</v>
          </cell>
          <cell r="H2656" t="str">
            <v>In-Line Fuel Filter</v>
          </cell>
        </row>
        <row r="2657">
          <cell r="G2657" t="str">
            <v>LAF8363</v>
          </cell>
          <cell r="H2657" t="str">
            <v>Panel Air Filter Metal Framed</v>
          </cell>
        </row>
        <row r="2658">
          <cell r="G2658" t="str">
            <v>LAF9237</v>
          </cell>
          <cell r="H2658" t="str">
            <v>HD Metal-End Air Filter with Attached Lid</v>
          </cell>
        </row>
        <row r="2659">
          <cell r="G2659" t="str">
            <v>LFP2270</v>
          </cell>
          <cell r="H2659" t="str">
            <v>Spin-on Oil Filter</v>
          </cell>
        </row>
        <row r="2660">
          <cell r="G2660" t="str">
            <v>LFP8230</v>
          </cell>
          <cell r="H2660" t="str">
            <v>Spin-on Oil Filter</v>
          </cell>
        </row>
        <row r="2661">
          <cell r="G2661" t="str">
            <v>AF1445</v>
          </cell>
          <cell r="H2661" t="str">
            <v>Tube Type Air Filter</v>
          </cell>
        </row>
        <row r="2662">
          <cell r="G2662" t="str">
            <v>CAF1732</v>
          </cell>
          <cell r="H2662" t="str">
            <v>Cabin Air Filter</v>
          </cell>
        </row>
        <row r="2663">
          <cell r="G2663" t="str">
            <v>CAF1836P</v>
          </cell>
          <cell r="H2663" t="str">
            <v>Cabin Air Filter</v>
          </cell>
        </row>
        <row r="2664">
          <cell r="G2664" t="str">
            <v>LAF1212</v>
          </cell>
          <cell r="H2664" t="str">
            <v>Tube Type Air Filter</v>
          </cell>
        </row>
        <row r="2665">
          <cell r="G2665" t="str">
            <v>LAF1767</v>
          </cell>
          <cell r="H2665" t="str">
            <v>HD Metal-End Inner Air Filter</v>
          </cell>
        </row>
        <row r="2666">
          <cell r="G2666" t="str">
            <v>LAF8878</v>
          </cell>
          <cell r="H2666" t="str">
            <v>Radial Seal Outer Air Filter</v>
          </cell>
        </row>
        <row r="2667">
          <cell r="G2667" t="str">
            <v>LAF9297</v>
          </cell>
          <cell r="H2667" t="str">
            <v>Metal-End Air Filter with Closed Top End Cap</v>
          </cell>
        </row>
        <row r="2668">
          <cell r="G2668" t="str">
            <v>LFP55</v>
          </cell>
          <cell r="H2668" t="str">
            <v>Spin-on Oil Filter</v>
          </cell>
        </row>
        <row r="2669">
          <cell r="G2669" t="str">
            <v>LH5003</v>
          </cell>
          <cell r="H2669" t="str">
            <v>Cartridge Hydraulic Filter</v>
          </cell>
        </row>
        <row r="2670">
          <cell r="G2670" t="str">
            <v>LP8993</v>
          </cell>
          <cell r="H2670" t="str">
            <v>Cartridge Oil Filter</v>
          </cell>
        </row>
        <row r="2671">
          <cell r="G2671" t="str">
            <v>T878</v>
          </cell>
          <cell r="H2671" t="str">
            <v>Transmission Filter Kit</v>
          </cell>
        </row>
        <row r="2672">
          <cell r="G2672" t="str">
            <v>G472</v>
          </cell>
          <cell r="H2672" t="str">
            <v>In-Line Fuel Filter</v>
          </cell>
        </row>
        <row r="2673">
          <cell r="G2673" t="str">
            <v>LAF2183A</v>
          </cell>
          <cell r="H2673" t="str">
            <v>HD Metal-End Air Filter</v>
          </cell>
        </row>
        <row r="2674">
          <cell r="G2674" t="str">
            <v>LAF22090</v>
          </cell>
          <cell r="H2674" t="str">
            <v>HD Metal-End Air Filter</v>
          </cell>
        </row>
        <row r="2675">
          <cell r="G2675" t="str">
            <v>LAF2517</v>
          </cell>
          <cell r="H2675" t="str">
            <v>Round Inner Air Filter</v>
          </cell>
        </row>
        <row r="2676">
          <cell r="G2676" t="str">
            <v>LAF264</v>
          </cell>
          <cell r="H2676" t="str">
            <v>HD Metal-End Air Filter</v>
          </cell>
        </row>
        <row r="2677">
          <cell r="G2677" t="str">
            <v>LAF268</v>
          </cell>
          <cell r="H2677" t="str">
            <v>HD Metal-End Air Filter</v>
          </cell>
        </row>
        <row r="2678">
          <cell r="G2678" t="str">
            <v>LAF4445</v>
          </cell>
          <cell r="H2678" t="str">
            <v>HD Metal-End Air Filter with Attached Lid</v>
          </cell>
        </row>
        <row r="2679">
          <cell r="G2679" t="str">
            <v>LAF6769MXM</v>
          </cell>
          <cell r="H2679" t="str">
            <v xml:space="preserve">Nano Tech Air Filter HD Metal-End </v>
          </cell>
        </row>
        <row r="2680">
          <cell r="G2680" t="str">
            <v>LAF8560</v>
          </cell>
          <cell r="H2680" t="str">
            <v>HD Metal-End Air Filter-Inner</v>
          </cell>
        </row>
        <row r="2681">
          <cell r="G2681" t="str">
            <v>LK182C</v>
          </cell>
          <cell r="H2681" t="str">
            <v>Cummins Engine Maintenance Kit</v>
          </cell>
        </row>
        <row r="2682">
          <cell r="G2682" t="str">
            <v>LP38</v>
          </cell>
          <cell r="H2682" t="str">
            <v>Cartridge Oil Filter</v>
          </cell>
        </row>
        <row r="2683">
          <cell r="G2683" t="str">
            <v>AF1097</v>
          </cell>
          <cell r="H2683" t="str">
            <v>Flexible Panel Air Filter</v>
          </cell>
        </row>
        <row r="2684">
          <cell r="G2684" t="str">
            <v>AF16</v>
          </cell>
          <cell r="H2684" t="str">
            <v>Foam Pad</v>
          </cell>
        </row>
        <row r="2685">
          <cell r="G2685" t="str">
            <v>AF812</v>
          </cell>
          <cell r="H2685" t="str">
            <v>Round Air Filter</v>
          </cell>
        </row>
        <row r="2686">
          <cell r="G2686" t="str">
            <v>CAF7798</v>
          </cell>
          <cell r="H2686" t="str">
            <v>Cabin Air Filter (Carbon)</v>
          </cell>
        </row>
        <row r="2687">
          <cell r="G2687" t="str">
            <v>G2930</v>
          </cell>
          <cell r="H2687" t="str">
            <v>Fuel Filter</v>
          </cell>
        </row>
        <row r="2688">
          <cell r="G2688" t="str">
            <v>G6347</v>
          </cell>
          <cell r="H2688" t="str">
            <v>Fuel Filter</v>
          </cell>
        </row>
        <row r="2689">
          <cell r="G2689" t="str">
            <v>G7</v>
          </cell>
          <cell r="H2689" t="str">
            <v>In-Line Fuel Filter</v>
          </cell>
        </row>
        <row r="2690">
          <cell r="G2690" t="str">
            <v>L1148F</v>
          </cell>
          <cell r="H2690" t="str">
            <v>Fuel Water Seperator Element Filter</v>
          </cell>
        </row>
        <row r="2691">
          <cell r="G2691" t="str">
            <v>L3563F</v>
          </cell>
          <cell r="H2691" t="str">
            <v>Cartridge Fuel Filter</v>
          </cell>
        </row>
        <row r="2692">
          <cell r="G2692" t="str">
            <v>LAF1865</v>
          </cell>
          <cell r="H2692" t="str">
            <v>HD Metal-End Air Filter</v>
          </cell>
        </row>
        <row r="2693">
          <cell r="G2693" t="str">
            <v>LAF1905</v>
          </cell>
          <cell r="H2693" t="str">
            <v>HD Metal-End Air Filter</v>
          </cell>
        </row>
        <row r="2694">
          <cell r="G2694" t="str">
            <v>LAF1996</v>
          </cell>
          <cell r="H2694" t="str">
            <v>HD Metal-End Inner Air Filter</v>
          </cell>
        </row>
        <row r="2695">
          <cell r="G2695" t="str">
            <v>LAF221</v>
          </cell>
          <cell r="H2695" t="str">
            <v>Round Air Filter</v>
          </cell>
        </row>
        <row r="2696">
          <cell r="G2696" t="str">
            <v>LAF5863</v>
          </cell>
          <cell r="H2696" t="str">
            <v>HD Metal-End Air Filter with Attached Lid</v>
          </cell>
        </row>
        <row r="2697">
          <cell r="G2697" t="str">
            <v>LAF8633</v>
          </cell>
          <cell r="H2697" t="str">
            <v>HD Metal-End Air Filter</v>
          </cell>
        </row>
        <row r="2698">
          <cell r="G2698" t="str">
            <v>LFF12D</v>
          </cell>
          <cell r="H2698" t="str">
            <v>Fuel Dispensing Filter</v>
          </cell>
        </row>
        <row r="2699">
          <cell r="G2699" t="str">
            <v>LFH1701</v>
          </cell>
          <cell r="H2699" t="str">
            <v>Spin-on Hydraulic Filter</v>
          </cell>
        </row>
        <row r="2700">
          <cell r="G2700" t="str">
            <v>LH11006V</v>
          </cell>
          <cell r="H2700" t="str">
            <v>Industrial Cartridge Hydraulic Filter</v>
          </cell>
        </row>
        <row r="2701">
          <cell r="G2701" t="str">
            <v>LH11011V</v>
          </cell>
          <cell r="H2701" t="str">
            <v>Industrial Cartridge Hydraulic Filter</v>
          </cell>
        </row>
        <row r="2702">
          <cell r="G2702" t="str">
            <v>LH4250</v>
          </cell>
          <cell r="H2702" t="str">
            <v>Cartridge Hydraulic Filter</v>
          </cell>
        </row>
        <row r="2703">
          <cell r="G2703" t="str">
            <v>LH5751</v>
          </cell>
          <cell r="H2703" t="str">
            <v>Cartridge Hydraulic Filter</v>
          </cell>
        </row>
        <row r="2704">
          <cell r="G2704" t="str">
            <v>LH95305V</v>
          </cell>
          <cell r="H2704" t="str">
            <v>Cartridge Hydraulic Filter</v>
          </cell>
        </row>
        <row r="2705">
          <cell r="G2705" t="str">
            <v>LK228C</v>
          </cell>
          <cell r="H2705" t="str">
            <v>Cummins Engine Maintenance Kit</v>
          </cell>
        </row>
        <row r="2706">
          <cell r="G2706" t="str">
            <v>LK345CA</v>
          </cell>
          <cell r="H2706" t="str">
            <v>Caterpillar Engine Maintenance Kit</v>
          </cell>
        </row>
        <row r="2707">
          <cell r="G2707" t="str">
            <v>LK56CA</v>
          </cell>
          <cell r="H2707" t="str">
            <v>Caterpillar Engine Maintenance Kit</v>
          </cell>
        </row>
        <row r="2708">
          <cell r="G2708" t="str">
            <v>LP2272</v>
          </cell>
          <cell r="H2708" t="str">
            <v>Cartridge Oil Filter</v>
          </cell>
        </row>
        <row r="2709">
          <cell r="G2709" t="str">
            <v>LFF4102D</v>
          </cell>
          <cell r="H2709" t="str">
            <v>Spin-on Fuel Filter</v>
          </cell>
        </row>
        <row r="2710">
          <cell r="G2710" t="str">
            <v>LAF8689</v>
          </cell>
          <cell r="H2710" t="str">
            <v>Radial Seal Inner Air Filter</v>
          </cell>
        </row>
        <row r="2711">
          <cell r="G2711" t="str">
            <v>LAF8658</v>
          </cell>
          <cell r="H2711" t="str">
            <v>HD Metal-End Air Filter</v>
          </cell>
        </row>
        <row r="2712">
          <cell r="G2712" t="str">
            <v>P819</v>
          </cell>
          <cell r="H2712" t="str">
            <v>Cartridge Oil Filter</v>
          </cell>
        </row>
        <row r="2713">
          <cell r="G2713">
            <v>500</v>
          </cell>
          <cell r="H2713" t="str">
            <v>Luber-finer 500 Series refining pak (standard), recommended for filtering non-detergent, straight mineral oil, synthetic oils, hydraulic fluids, fuel oils, etc.</v>
          </cell>
        </row>
        <row r="2714">
          <cell r="G2714" t="str">
            <v>750-C</v>
          </cell>
          <cell r="H2714" t="str">
            <v>Refining Unit For Fuel Filtration w/Filter Pack/750-C, CT</v>
          </cell>
        </row>
        <row r="2715">
          <cell r="G2715" t="str">
            <v>BAGGED</v>
          </cell>
          <cell r="H2715" t="str">
            <v>No. 4 Orifice Opening size is .062 ; Flow rate is .6 GPM</v>
          </cell>
        </row>
        <row r="2716">
          <cell r="G2716" t="str">
            <v>LAF8820</v>
          </cell>
          <cell r="H2716" t="str">
            <v>Round Air Filter</v>
          </cell>
        </row>
        <row r="2717">
          <cell r="G2717" t="str">
            <v>PH8935</v>
          </cell>
          <cell r="H2717" t="str">
            <v>Spin-on Oil Filter</v>
          </cell>
        </row>
        <row r="2718">
          <cell r="G2718" t="str">
            <v>CAF1757</v>
          </cell>
          <cell r="H2718" t="str">
            <v>Cabin Air Filter</v>
          </cell>
        </row>
        <row r="2719">
          <cell r="G2719" t="str">
            <v>AF9098</v>
          </cell>
          <cell r="H2719" t="str">
            <v>Radial Seal Outer Air Filter</v>
          </cell>
        </row>
        <row r="2720">
          <cell r="G2720" t="str">
            <v>AF1279</v>
          </cell>
          <cell r="H2720" t="str">
            <v>Flexible Panel Air Filter</v>
          </cell>
        </row>
        <row r="2721">
          <cell r="G2721" t="str">
            <v>AF7892</v>
          </cell>
          <cell r="H2721" t="str">
            <v>Rigid Panel Air Filter</v>
          </cell>
        </row>
        <row r="2722">
          <cell r="G2722" t="str">
            <v>AF7998</v>
          </cell>
          <cell r="H2722" t="str">
            <v>Rigid Panel Air Filter</v>
          </cell>
        </row>
        <row r="2723">
          <cell r="G2723" t="str">
            <v>AF331</v>
          </cell>
          <cell r="H2723" t="str">
            <v>Round Air Filter</v>
          </cell>
        </row>
        <row r="2724">
          <cell r="G2724" t="str">
            <v>AF7919</v>
          </cell>
          <cell r="H2724" t="str">
            <v>Rigid Panel Air Filter</v>
          </cell>
        </row>
        <row r="2725">
          <cell r="G2725" t="str">
            <v>LP2277</v>
          </cell>
          <cell r="H2725" t="str">
            <v>Cartridge Oil Filter</v>
          </cell>
        </row>
        <row r="2726">
          <cell r="G2726" t="str">
            <v>PC434</v>
          </cell>
          <cell r="H2726" t="str">
            <v>PCV Valve</v>
          </cell>
        </row>
        <row r="2727">
          <cell r="G2727" t="str">
            <v>AF7982</v>
          </cell>
          <cell r="H2727" t="str">
            <v>Rigid Panel Air Filter</v>
          </cell>
        </row>
        <row r="2728">
          <cell r="G2728" t="str">
            <v>G6511</v>
          </cell>
          <cell r="H2728" t="str">
            <v>In-Line Fuel Filter</v>
          </cell>
        </row>
        <row r="2729">
          <cell r="G2729" t="str">
            <v>AF3998</v>
          </cell>
          <cell r="H2729" t="str">
            <v>Panel Air Irregular Shaped Filter</v>
          </cell>
        </row>
        <row r="2730">
          <cell r="G2730" t="str">
            <v>AF7920</v>
          </cell>
          <cell r="H2730" t="str">
            <v>Rigid Panel Air Filter</v>
          </cell>
        </row>
        <row r="2731">
          <cell r="G2731" t="str">
            <v>CAF1801P</v>
          </cell>
          <cell r="H2731" t="str">
            <v>Cabin Air Filter</v>
          </cell>
        </row>
        <row r="2732">
          <cell r="G2732" t="str">
            <v>AF2780</v>
          </cell>
          <cell r="H2732" t="str">
            <v>Flexible Panel Air Filter</v>
          </cell>
        </row>
        <row r="2733">
          <cell r="G2733" t="str">
            <v>AF7985</v>
          </cell>
          <cell r="H2733" t="str">
            <v>Flexible Panel Air Filter</v>
          </cell>
        </row>
        <row r="2734">
          <cell r="G2734" t="str">
            <v>CAF1756</v>
          </cell>
          <cell r="H2734" t="str">
            <v>Cabin Air Filter</v>
          </cell>
        </row>
        <row r="2735">
          <cell r="G2735" t="str">
            <v>P8198</v>
          </cell>
          <cell r="H2735" t="str">
            <v>Cartridge Oil Filter</v>
          </cell>
        </row>
        <row r="2736">
          <cell r="G2736" t="str">
            <v>AF7910</v>
          </cell>
          <cell r="H2736" t="str">
            <v>Flexible Panel Air Filter</v>
          </cell>
        </row>
        <row r="2737">
          <cell r="G2737" t="str">
            <v>AF7825</v>
          </cell>
          <cell r="H2737" t="str">
            <v>Round Panel Air Filter</v>
          </cell>
        </row>
        <row r="2738">
          <cell r="G2738" t="str">
            <v>AF4051</v>
          </cell>
          <cell r="H2738" t="str">
            <v>Panel Air Irregular Shaped Filter</v>
          </cell>
        </row>
        <row r="2739">
          <cell r="G2739" t="str">
            <v>AF2340</v>
          </cell>
          <cell r="H2739" t="str">
            <v>Flexible Panel Air Filter</v>
          </cell>
        </row>
        <row r="2740">
          <cell r="G2740" t="str">
            <v>P825</v>
          </cell>
          <cell r="H2740" t="str">
            <v>Cartridge Oil Filter</v>
          </cell>
        </row>
        <row r="2741">
          <cell r="G2741" t="str">
            <v>AF4011</v>
          </cell>
          <cell r="H2741" t="str">
            <v>Flexible Panel Air Filter</v>
          </cell>
        </row>
        <row r="2742">
          <cell r="G2742" t="str">
            <v>AF3908</v>
          </cell>
          <cell r="H2742" t="str">
            <v>Panel Air Irregular Shaped Filter</v>
          </cell>
        </row>
        <row r="2743">
          <cell r="G2743" t="str">
            <v>AF4035</v>
          </cell>
          <cell r="H2743" t="str">
            <v>Rigid Panel Air Filter</v>
          </cell>
        </row>
        <row r="2744">
          <cell r="G2744" t="str">
            <v>LFP3200C</v>
          </cell>
          <cell r="H2744" t="str">
            <v>Spin-on Fuel Filter</v>
          </cell>
        </row>
        <row r="2745">
          <cell r="G2745" t="str">
            <v>AF7912</v>
          </cell>
          <cell r="H2745" t="str">
            <v>Flexible Panel Air Filter</v>
          </cell>
        </row>
        <row r="2746">
          <cell r="G2746" t="str">
            <v>AF3611</v>
          </cell>
          <cell r="H2746" t="str">
            <v>Air Filter</v>
          </cell>
        </row>
        <row r="2747">
          <cell r="G2747" t="str">
            <v>AF7973</v>
          </cell>
          <cell r="H2747" t="str">
            <v>Flexible Panel Air Filter</v>
          </cell>
        </row>
        <row r="2748">
          <cell r="G2748" t="str">
            <v>LAF8144</v>
          </cell>
          <cell r="H2748" t="str">
            <v>Radial Seal Outer Air Filter</v>
          </cell>
        </row>
        <row r="2749">
          <cell r="G2749" t="str">
            <v>P8445</v>
          </cell>
          <cell r="H2749" t="str">
            <v>Cartridge Oil Filter</v>
          </cell>
        </row>
        <row r="2750">
          <cell r="G2750" t="str">
            <v>AF5857</v>
          </cell>
          <cell r="H2750" t="str">
            <v>Rigid Panel Air Filter</v>
          </cell>
        </row>
        <row r="2751">
          <cell r="G2751" t="str">
            <v>L274F-1</v>
          </cell>
          <cell r="H2751" t="str">
            <v>Sock Type Fuel Filter</v>
          </cell>
        </row>
        <row r="2752">
          <cell r="G2752" t="str">
            <v>PC339</v>
          </cell>
          <cell r="H2752" t="str">
            <v>PCV Valve</v>
          </cell>
        </row>
        <row r="2753">
          <cell r="G2753" t="str">
            <v>LFP2257</v>
          </cell>
          <cell r="H2753" t="str">
            <v>Spin-on Oil Filter</v>
          </cell>
        </row>
        <row r="2754">
          <cell r="G2754" t="str">
            <v>AF4010</v>
          </cell>
          <cell r="H2754" t="str">
            <v>Rigid Panel Air Filter</v>
          </cell>
        </row>
        <row r="2755">
          <cell r="G2755" t="str">
            <v>G145</v>
          </cell>
          <cell r="H2755" t="str">
            <v>In-Line Fuel Filter</v>
          </cell>
        </row>
        <row r="2756">
          <cell r="G2756" t="str">
            <v>AF261</v>
          </cell>
          <cell r="H2756" t="str">
            <v>Round Air Filter</v>
          </cell>
        </row>
        <row r="2757">
          <cell r="G2757" t="str">
            <v>AF355</v>
          </cell>
          <cell r="H2757" t="str">
            <v>Flexible Panel Air Filter</v>
          </cell>
        </row>
        <row r="2758">
          <cell r="G2758" t="str">
            <v>LAF4759</v>
          </cell>
          <cell r="H2758" t="str">
            <v>HD Metal-End Air Filter</v>
          </cell>
        </row>
        <row r="2759">
          <cell r="G2759" t="str">
            <v>LAF1755</v>
          </cell>
          <cell r="H2759" t="str">
            <v>HD Metal-End Air Filter</v>
          </cell>
        </row>
        <row r="2760">
          <cell r="G2760" t="str">
            <v>CAF7779</v>
          </cell>
          <cell r="H2760" t="str">
            <v>Cabin Air Filter (Carbon)</v>
          </cell>
        </row>
        <row r="2761">
          <cell r="G2761" t="str">
            <v>AF8191</v>
          </cell>
          <cell r="H2761" t="str">
            <v>Flexible Panel Air Filter</v>
          </cell>
        </row>
        <row r="2762">
          <cell r="G2762" t="str">
            <v>CAF1835P</v>
          </cell>
          <cell r="H2762" t="str">
            <v>Cabin Air Filter</v>
          </cell>
        </row>
        <row r="2763">
          <cell r="G2763" t="str">
            <v>LH4246</v>
          </cell>
          <cell r="H2763" t="str">
            <v>Cartridge Hydraulic Filter</v>
          </cell>
        </row>
        <row r="2764">
          <cell r="G2764" t="str">
            <v>AF1622</v>
          </cell>
          <cell r="H2764" t="str">
            <v>Flexible Panel Air Filter</v>
          </cell>
        </row>
        <row r="2765">
          <cell r="G2765" t="str">
            <v>PC304</v>
          </cell>
          <cell r="H2765" t="str">
            <v>PCV Valve</v>
          </cell>
        </row>
        <row r="2766">
          <cell r="G2766" t="str">
            <v>G6599</v>
          </cell>
          <cell r="H2766" t="str">
            <v>In-Line Fuel Filter</v>
          </cell>
        </row>
        <row r="2767">
          <cell r="G2767" t="str">
            <v>AF5227</v>
          </cell>
          <cell r="H2767" t="str">
            <v>Rigid Panel Air Filter</v>
          </cell>
        </row>
        <row r="2768">
          <cell r="G2768" t="str">
            <v>G6391</v>
          </cell>
          <cell r="H2768" t="str">
            <v>Fuel Filter</v>
          </cell>
        </row>
        <row r="2769">
          <cell r="G2769" t="str">
            <v>LAF910</v>
          </cell>
          <cell r="H2769" t="str">
            <v>Round Air Filter</v>
          </cell>
        </row>
        <row r="2770">
          <cell r="G2770" t="str">
            <v>LAF1759</v>
          </cell>
          <cell r="H2770" t="str">
            <v>HD Metal-End Air Filter</v>
          </cell>
        </row>
        <row r="2771">
          <cell r="G2771" t="str">
            <v>G6531</v>
          </cell>
          <cell r="H2771" t="str">
            <v>In-Line Fuel Filter</v>
          </cell>
        </row>
        <row r="2772">
          <cell r="G2772" t="str">
            <v>LAF1871</v>
          </cell>
          <cell r="H2772" t="str">
            <v>Flexible Panel Air Filter</v>
          </cell>
        </row>
        <row r="2773">
          <cell r="G2773" t="str">
            <v>AF7865</v>
          </cell>
          <cell r="H2773" t="str">
            <v>Flexible Panel Air Filter</v>
          </cell>
        </row>
        <row r="2774">
          <cell r="G2774" t="str">
            <v>LFF9772</v>
          </cell>
          <cell r="H2774" t="str">
            <v>Spin-on Fuel Water Separator Filter</v>
          </cell>
        </row>
        <row r="2775">
          <cell r="G2775" t="str">
            <v>CAF1716</v>
          </cell>
          <cell r="H2775" t="str">
            <v>Cabin Air Filter</v>
          </cell>
        </row>
        <row r="2776">
          <cell r="G2776" t="str">
            <v>LAF8118</v>
          </cell>
          <cell r="H2776" t="str">
            <v>Finned Vane Air Filter</v>
          </cell>
        </row>
        <row r="2777">
          <cell r="G2777" t="str">
            <v>G6627</v>
          </cell>
          <cell r="H2777" t="str">
            <v>In-Line Fuel Filter</v>
          </cell>
        </row>
        <row r="2778">
          <cell r="G2778" t="str">
            <v>LAF8072</v>
          </cell>
          <cell r="H2778" t="str">
            <v>HD Metal-End Air Filter with Attached Lid</v>
          </cell>
        </row>
        <row r="2779">
          <cell r="G2779" t="str">
            <v>LAF8119</v>
          </cell>
          <cell r="H2779" t="str">
            <v>HD Metal-End Air Filter-Inner</v>
          </cell>
        </row>
        <row r="2780">
          <cell r="G2780" t="str">
            <v>AF5099</v>
          </cell>
          <cell r="H2780" t="str">
            <v>Rigid Panel Air Filter</v>
          </cell>
        </row>
        <row r="2781">
          <cell r="G2781" t="str">
            <v>LAF337</v>
          </cell>
          <cell r="H2781" t="str">
            <v>HD Metal-End Air Filter with Attached Lid</v>
          </cell>
        </row>
        <row r="2782">
          <cell r="G2782" t="str">
            <v>CAF7762</v>
          </cell>
          <cell r="H2782" t="str">
            <v>Cabin Air Filter (Carbon)</v>
          </cell>
        </row>
        <row r="2783">
          <cell r="G2783" t="str">
            <v>LAF9387</v>
          </cell>
          <cell r="H2783" t="str">
            <v>Radial Seal Inner Air Filter</v>
          </cell>
        </row>
        <row r="2784">
          <cell r="G2784" t="str">
            <v>LFH6201</v>
          </cell>
          <cell r="H2784" t="str">
            <v>Spin-on Hydraulic Filter</v>
          </cell>
        </row>
        <row r="2785">
          <cell r="G2785" t="str">
            <v>LH4235</v>
          </cell>
          <cell r="H2785" t="str">
            <v>Cartridge Hydraulic Filter</v>
          </cell>
        </row>
        <row r="2786">
          <cell r="G2786" t="str">
            <v>AF3939</v>
          </cell>
          <cell r="H2786" t="str">
            <v>Rigid Panel Air Filter</v>
          </cell>
        </row>
        <row r="2787">
          <cell r="G2787" t="str">
            <v>AF7904</v>
          </cell>
          <cell r="H2787" t="str">
            <v>Air Filter</v>
          </cell>
        </row>
        <row r="2788">
          <cell r="G2788" t="str">
            <v>LFP8452</v>
          </cell>
          <cell r="H2788" t="str">
            <v>Spin-on Oil Filter</v>
          </cell>
        </row>
        <row r="2789">
          <cell r="G2789" t="str">
            <v>LH4226</v>
          </cell>
          <cell r="H2789" t="str">
            <v>Cartridge Hydraulic Filter</v>
          </cell>
        </row>
        <row r="2790">
          <cell r="G2790" t="str">
            <v>CAF1750</v>
          </cell>
          <cell r="H2790" t="str">
            <v>Cabin Air Filter</v>
          </cell>
        </row>
        <row r="2791">
          <cell r="G2791" t="str">
            <v>LAF22013</v>
          </cell>
          <cell r="H2791" t="str">
            <v>Finned Vane Air Filter</v>
          </cell>
        </row>
        <row r="2792">
          <cell r="G2792" t="str">
            <v>LAF3661</v>
          </cell>
          <cell r="H2792" t="str">
            <v>Disposible Housing Air Filter</v>
          </cell>
        </row>
        <row r="2793">
          <cell r="G2793" t="str">
            <v>LAF8547</v>
          </cell>
          <cell r="H2793" t="str">
            <v>HD Metal-End Inner Air Filter</v>
          </cell>
        </row>
        <row r="2794">
          <cell r="G2794" t="str">
            <v>LAF8656</v>
          </cell>
          <cell r="H2794" t="str">
            <v>HD Metal-End Air Filter</v>
          </cell>
        </row>
        <row r="2795">
          <cell r="G2795" t="str">
            <v>CAF7782</v>
          </cell>
          <cell r="H2795" t="str">
            <v>Cabin Air Filter (Carbon)</v>
          </cell>
        </row>
        <row r="2796">
          <cell r="G2796" t="str">
            <v>LAF4173</v>
          </cell>
          <cell r="H2796" t="str">
            <v>HD Metal-End Inner Air Filter</v>
          </cell>
        </row>
        <row r="2797">
          <cell r="G2797" t="str">
            <v>LAF4347</v>
          </cell>
          <cell r="H2797" t="str">
            <v>Finned Vane Air Filter</v>
          </cell>
        </row>
        <row r="2798">
          <cell r="G2798" t="str">
            <v>LFP8224</v>
          </cell>
          <cell r="H2798" t="str">
            <v>Spin-on Oil Filter</v>
          </cell>
        </row>
        <row r="2799">
          <cell r="G2799" t="str">
            <v>LK262CA</v>
          </cell>
          <cell r="H2799" t="str">
            <v>Caterpillar Engine Maintenance Kit</v>
          </cell>
        </row>
        <row r="2800">
          <cell r="G2800" t="str">
            <v>CAF1705</v>
          </cell>
          <cell r="H2800" t="str">
            <v>Cabin Air Filter</v>
          </cell>
        </row>
        <row r="2801">
          <cell r="G2801" t="str">
            <v>CAF7713</v>
          </cell>
          <cell r="H2801" t="str">
            <v>Cabin Air Filter (Carbon)</v>
          </cell>
        </row>
        <row r="2802">
          <cell r="G2802" t="str">
            <v>CAF7739</v>
          </cell>
          <cell r="H2802" t="str">
            <v>Cabin Air Filter (Carbon)</v>
          </cell>
        </row>
        <row r="2803">
          <cell r="G2803" t="str">
            <v>CAF7783</v>
          </cell>
          <cell r="H2803" t="str">
            <v>Cabin Air Filter (Carbon)</v>
          </cell>
        </row>
        <row r="2804">
          <cell r="G2804" t="str">
            <v>LAF519D</v>
          </cell>
          <cell r="H2804" t="str">
            <v>Rigid Panel Air Filter</v>
          </cell>
        </row>
        <row r="2805">
          <cell r="G2805" t="str">
            <v>LAF8622</v>
          </cell>
          <cell r="H2805" t="str">
            <v>Round Inner Air Filter</v>
          </cell>
        </row>
        <row r="2806">
          <cell r="G2806" t="str">
            <v>LH4949</v>
          </cell>
          <cell r="H2806" t="str">
            <v>Cartridge Hydraulic Filter</v>
          </cell>
        </row>
        <row r="2807">
          <cell r="G2807" t="str">
            <v>LK317C</v>
          </cell>
          <cell r="H2807" t="str">
            <v>Cummins Engine Maintenance Kit</v>
          </cell>
        </row>
        <row r="2808">
          <cell r="G2808" t="str">
            <v>PC273</v>
          </cell>
          <cell r="H2808" t="str">
            <v>PCV Valve</v>
          </cell>
        </row>
        <row r="2809">
          <cell r="G2809" t="str">
            <v>T187</v>
          </cell>
          <cell r="H2809" t="str">
            <v>Transmission Filter Kit</v>
          </cell>
        </row>
        <row r="2810">
          <cell r="G2810" t="str">
            <v>AF233</v>
          </cell>
          <cell r="H2810" t="str">
            <v>Special Round Construction</v>
          </cell>
        </row>
        <row r="2811">
          <cell r="G2811" t="str">
            <v>AF836</v>
          </cell>
          <cell r="H2811" t="str">
            <v>Round Air Filter</v>
          </cell>
        </row>
        <row r="2812">
          <cell r="G2812" t="str">
            <v>CAF1934P</v>
          </cell>
          <cell r="H2812" t="str">
            <v>Cabin Air Filter</v>
          </cell>
        </row>
        <row r="2813">
          <cell r="G2813" t="str">
            <v>G6547</v>
          </cell>
          <cell r="H2813" t="str">
            <v>In-Line Fuel Filter</v>
          </cell>
        </row>
        <row r="2814">
          <cell r="G2814" t="str">
            <v>L8254F</v>
          </cell>
          <cell r="H2814" t="str">
            <v>Cartridge Fuel Filter</v>
          </cell>
        </row>
        <row r="2815">
          <cell r="G2815" t="str">
            <v>LAF2604</v>
          </cell>
          <cell r="H2815" t="str">
            <v>Finned Vane Air Filter</v>
          </cell>
        </row>
        <row r="2816">
          <cell r="G2816" t="str">
            <v>LAF4490</v>
          </cell>
          <cell r="H2816" t="str">
            <v>Metal-End Air Filter with Closed Top End Cap</v>
          </cell>
        </row>
        <row r="2817">
          <cell r="G2817" t="str">
            <v>LAF8226</v>
          </cell>
          <cell r="H2817" t="str">
            <v>HD Metal-End Inner Air Filter</v>
          </cell>
        </row>
        <row r="2818">
          <cell r="G2818" t="str">
            <v>LAF8426</v>
          </cell>
          <cell r="H2818" t="str">
            <v>Finned Vane Air Filter</v>
          </cell>
        </row>
        <row r="2819">
          <cell r="G2819" t="str">
            <v>LAF8607</v>
          </cell>
          <cell r="H2819" t="str">
            <v>HD Round Air Filter with Attached Boot</v>
          </cell>
        </row>
        <row r="2820">
          <cell r="G2820" t="str">
            <v>LAF8954</v>
          </cell>
          <cell r="H2820" t="str">
            <v>HD Metal-End Air Filter</v>
          </cell>
        </row>
        <row r="2821">
          <cell r="G2821" t="str">
            <v>LFH4201</v>
          </cell>
          <cell r="H2821" t="str">
            <v>Spin-on Hydraulic Filter</v>
          </cell>
        </row>
        <row r="2822">
          <cell r="G2822" t="str">
            <v>LH4396</v>
          </cell>
          <cell r="H2822" t="str">
            <v>Cartridge Hydraulic Filter</v>
          </cell>
        </row>
        <row r="2823">
          <cell r="G2823" t="str">
            <v>AF127</v>
          </cell>
          <cell r="H2823" t="str">
            <v>Round Air Filter</v>
          </cell>
        </row>
        <row r="2824">
          <cell r="G2824" t="str">
            <v>AF2975</v>
          </cell>
          <cell r="H2824" t="str">
            <v>Radial Seal Air Filter</v>
          </cell>
        </row>
        <row r="2825">
          <cell r="G2825" t="str">
            <v>AF405</v>
          </cell>
          <cell r="H2825" t="str">
            <v>Flexible Panel Air Filter</v>
          </cell>
        </row>
        <row r="2826">
          <cell r="G2826" t="str">
            <v>AF8309</v>
          </cell>
          <cell r="H2826" t="str">
            <v>Flexible Panel Air Filter</v>
          </cell>
        </row>
        <row r="2827">
          <cell r="G2827" t="str">
            <v>AF96</v>
          </cell>
          <cell r="H2827" t="str">
            <v>Air Filter</v>
          </cell>
        </row>
        <row r="2828">
          <cell r="G2828" t="str">
            <v>CAF1822P</v>
          </cell>
          <cell r="H2828" t="str">
            <v>Cabin Air Filter</v>
          </cell>
        </row>
        <row r="2829">
          <cell r="G2829" t="str">
            <v>CAF7711</v>
          </cell>
          <cell r="H2829" t="str">
            <v>Cabin Air Filter (Carbon)</v>
          </cell>
        </row>
        <row r="2830">
          <cell r="G2830" t="str">
            <v>G251</v>
          </cell>
          <cell r="H2830" t="str">
            <v>Fuel Filter</v>
          </cell>
        </row>
        <row r="2831">
          <cell r="G2831" t="str">
            <v>G6357</v>
          </cell>
          <cell r="H2831" t="str">
            <v>In-Line Fuel Filter</v>
          </cell>
        </row>
        <row r="2832">
          <cell r="G2832" t="str">
            <v>G6574</v>
          </cell>
          <cell r="H2832" t="str">
            <v>Fuel Filter</v>
          </cell>
        </row>
        <row r="2833">
          <cell r="G2833" t="str">
            <v>L3542F</v>
          </cell>
          <cell r="H2833" t="str">
            <v>Cartridge Fuel Filter</v>
          </cell>
        </row>
        <row r="2834">
          <cell r="G2834" t="str">
            <v>LAF1226</v>
          </cell>
          <cell r="H2834" t="str">
            <v>Tube Type Air Filter</v>
          </cell>
        </row>
        <row r="2835">
          <cell r="G2835" t="str">
            <v>LAF1779</v>
          </cell>
          <cell r="H2835" t="str">
            <v>Round Inner Air Filter</v>
          </cell>
        </row>
        <row r="2836">
          <cell r="G2836" t="str">
            <v>LAF1973</v>
          </cell>
          <cell r="H2836" t="str">
            <v>Round Air Filter</v>
          </cell>
        </row>
        <row r="2837">
          <cell r="G2837" t="str">
            <v>LAF2625</v>
          </cell>
          <cell r="H2837" t="str">
            <v>HD Metal-End Inner Air Filter</v>
          </cell>
        </row>
        <row r="2838">
          <cell r="G2838" t="str">
            <v>LAF8182</v>
          </cell>
          <cell r="H2838" t="str">
            <v>HD Metal-End Air Filter</v>
          </cell>
        </row>
        <row r="2839">
          <cell r="G2839" t="str">
            <v>LAF9029</v>
          </cell>
          <cell r="H2839" t="str">
            <v>HD Metal-End Air Filter</v>
          </cell>
        </row>
        <row r="2840">
          <cell r="G2840" t="str">
            <v>LFF3416</v>
          </cell>
          <cell r="H2840" t="str">
            <v>Spin-on Fuel Filter</v>
          </cell>
        </row>
        <row r="2841">
          <cell r="G2841" t="str">
            <v>LH4236</v>
          </cell>
          <cell r="H2841" t="str">
            <v>Cartridge Hydraulic Filter</v>
          </cell>
        </row>
        <row r="2842">
          <cell r="G2842" t="str">
            <v>LK199D</v>
          </cell>
          <cell r="H2842" t="str">
            <v>Detroit Diesel Engine Maintenance Kit</v>
          </cell>
        </row>
        <row r="2843">
          <cell r="G2843" t="str">
            <v>LK21C</v>
          </cell>
          <cell r="H2843" t="str">
            <v>Cummins Engine Maintenance Kit</v>
          </cell>
        </row>
        <row r="2844">
          <cell r="G2844" t="str">
            <v>T133</v>
          </cell>
          <cell r="H2844" t="str">
            <v>Transmission Filter Kit</v>
          </cell>
        </row>
        <row r="2845">
          <cell r="G2845" t="str">
            <v>T192</v>
          </cell>
          <cell r="H2845" t="str">
            <v>Transmission Filter Kit</v>
          </cell>
        </row>
        <row r="2846">
          <cell r="G2846" t="str">
            <v>T531</v>
          </cell>
          <cell r="H2846" t="str">
            <v>Transmission Filter Kit</v>
          </cell>
        </row>
        <row r="2847">
          <cell r="G2847" t="str">
            <v>T542</v>
          </cell>
          <cell r="H2847" t="str">
            <v>Transmission Filter Kit</v>
          </cell>
        </row>
        <row r="2848">
          <cell r="G2848" t="str">
            <v>T645</v>
          </cell>
          <cell r="H2848" t="str">
            <v xml:space="preserve">Magnetic in-line transmission Filter </v>
          </cell>
        </row>
        <row r="2849">
          <cell r="G2849" t="str">
            <v>T764</v>
          </cell>
          <cell r="H2849" t="str">
            <v>Cartridge Transmission Filter Kit</v>
          </cell>
        </row>
        <row r="2850">
          <cell r="G2850" t="str">
            <v>AF5986</v>
          </cell>
          <cell r="H2850" t="str">
            <v>Flexible Panel Air Filter</v>
          </cell>
        </row>
        <row r="2851">
          <cell r="G2851" t="str">
            <v>LH4924</v>
          </cell>
          <cell r="H2851" t="str">
            <v>Cartridge Hydraulic Filter</v>
          </cell>
        </row>
        <row r="2852">
          <cell r="G2852" t="str">
            <v>L5087F</v>
          </cell>
          <cell r="H2852" t="str">
            <v>Cartridge Fuel Filter</v>
          </cell>
        </row>
        <row r="2853">
          <cell r="G2853" t="str">
            <v>LAF1468</v>
          </cell>
          <cell r="H2853" t="str">
            <v>Rigid Panel Air Filter</v>
          </cell>
        </row>
        <row r="2854">
          <cell r="G2854" t="str">
            <v>LAF240HD</v>
          </cell>
          <cell r="H2854" t="str">
            <v>HD Round Air Filter with non-woven Batt Media</v>
          </cell>
        </row>
        <row r="2855">
          <cell r="G2855" t="str">
            <v>LAF3742</v>
          </cell>
          <cell r="H2855" t="str">
            <v>Finned Vane Air Filter</v>
          </cell>
        </row>
        <row r="2856">
          <cell r="G2856">
            <v>156</v>
          </cell>
          <cell r="H2856" t="str">
            <v>Spin-on Oil Filter</v>
          </cell>
        </row>
        <row r="2857">
          <cell r="G2857">
            <v>159</v>
          </cell>
          <cell r="H2857" t="str">
            <v>Spin-on Oil Filter</v>
          </cell>
        </row>
        <row r="2858">
          <cell r="G2858">
            <v>1586</v>
          </cell>
          <cell r="H2858" t="str">
            <v>Seal Washer, Aluminum/500-B, C, 750-B, C, F-120, F-155</v>
          </cell>
        </row>
        <row r="2859">
          <cell r="G2859">
            <v>3564</v>
          </cell>
          <cell r="H2859" t="str">
            <v>Replacement Clamp Screw For A 3566 Ring</v>
          </cell>
        </row>
        <row r="2860">
          <cell r="G2860" t="str">
            <v>4084</v>
          </cell>
          <cell r="H2860" t="str">
            <v>Air Filter Restriction Gauge; Dash Mount</v>
          </cell>
        </row>
        <row r="2861">
          <cell r="G2861" t="str">
            <v>CAF1837C</v>
          </cell>
          <cell r="H2861" t="str">
            <v>Cabin Air Filter (Carbon)</v>
          </cell>
        </row>
        <row r="2862">
          <cell r="G2862" t="str">
            <v>CAF24002XL</v>
          </cell>
          <cell r="H2862" t="str">
            <v>Cabin Air Filter (Carbon) Extreme Clean</v>
          </cell>
        </row>
        <row r="2863">
          <cell r="G2863" t="str">
            <v>LAF8977</v>
          </cell>
          <cell r="H2863" t="str">
            <v>HD Metal-End Air Filter with Attached Lid</v>
          </cell>
        </row>
        <row r="2864">
          <cell r="G2864" t="str">
            <v>G244</v>
          </cell>
          <cell r="H2864" t="str">
            <v>In-Line Fuel Filter</v>
          </cell>
        </row>
        <row r="2865">
          <cell r="G2865" t="str">
            <v>AF129</v>
          </cell>
          <cell r="H2865" t="str">
            <v>Round Air Filter</v>
          </cell>
        </row>
        <row r="2866">
          <cell r="G2866" t="str">
            <v>LAF1964</v>
          </cell>
          <cell r="H2866" t="str">
            <v>Round Air Filter</v>
          </cell>
        </row>
        <row r="2867">
          <cell r="G2867" t="str">
            <v>AF7841</v>
          </cell>
          <cell r="H2867" t="str">
            <v>Rigid Panel Air Filter</v>
          </cell>
        </row>
        <row r="2868">
          <cell r="G2868" t="str">
            <v>AF3999</v>
          </cell>
          <cell r="H2868" t="str">
            <v>Flexible Panel Air Filter</v>
          </cell>
        </row>
        <row r="2869">
          <cell r="G2869" t="str">
            <v>AF3592</v>
          </cell>
          <cell r="H2869" t="str">
            <v>Rigid Panel Air Filter</v>
          </cell>
        </row>
        <row r="2870">
          <cell r="G2870" t="str">
            <v>AF4019</v>
          </cell>
          <cell r="H2870" t="str">
            <v>Rigid Panel Air Filter</v>
          </cell>
        </row>
        <row r="2871">
          <cell r="G2871" t="str">
            <v>AF4002</v>
          </cell>
          <cell r="H2871" t="str">
            <v>Rigid Panel Air Filter</v>
          </cell>
        </row>
        <row r="2872">
          <cell r="G2872" t="str">
            <v>AF3899</v>
          </cell>
          <cell r="H2872" t="str">
            <v>Rigid Panel Air Filter</v>
          </cell>
        </row>
        <row r="2873">
          <cell r="G2873" t="str">
            <v>CAF1774</v>
          </cell>
          <cell r="H2873" t="str">
            <v>Cabin Air Filter</v>
          </cell>
        </row>
        <row r="2874">
          <cell r="G2874" t="str">
            <v>CAF1830P</v>
          </cell>
          <cell r="H2874" t="str">
            <v>Cabin Air Filter</v>
          </cell>
        </row>
        <row r="2875">
          <cell r="G2875" t="str">
            <v>AF7917</v>
          </cell>
          <cell r="H2875" t="str">
            <v>Flexible Panel Air Filter</v>
          </cell>
        </row>
        <row r="2876">
          <cell r="G2876" t="str">
            <v>LP5564</v>
          </cell>
          <cell r="H2876" t="str">
            <v>Cartridge Oil Filter</v>
          </cell>
        </row>
        <row r="2877">
          <cell r="G2877" t="str">
            <v>CAF1883P</v>
          </cell>
          <cell r="H2877" t="str">
            <v>Cabin Air Filter</v>
          </cell>
        </row>
        <row r="2878">
          <cell r="G2878" t="str">
            <v>CAF1786</v>
          </cell>
          <cell r="H2878" t="str">
            <v>Cabin Air Filter</v>
          </cell>
        </row>
        <row r="2879">
          <cell r="G2879" t="str">
            <v>AF7965</v>
          </cell>
          <cell r="H2879" t="str">
            <v>Flexible Panel Air Filter</v>
          </cell>
        </row>
        <row r="2880">
          <cell r="G2880" t="str">
            <v>G6579</v>
          </cell>
          <cell r="H2880" t="str">
            <v>In-Line Fuel Filter</v>
          </cell>
        </row>
        <row r="2881">
          <cell r="G2881" t="str">
            <v>AF5246</v>
          </cell>
          <cell r="H2881" t="str">
            <v>Air Filter</v>
          </cell>
        </row>
        <row r="2882">
          <cell r="G2882" t="str">
            <v>AF4000</v>
          </cell>
          <cell r="H2882" t="str">
            <v>Flexible Panel Air Filter</v>
          </cell>
        </row>
        <row r="2883">
          <cell r="G2883" t="str">
            <v>P963</v>
          </cell>
          <cell r="H2883" t="str">
            <v>Cartridge Oil Filter</v>
          </cell>
        </row>
        <row r="2884">
          <cell r="G2884" t="str">
            <v>LFP959FHE</v>
          </cell>
          <cell r="H2884" t="str">
            <v>Spin-on Fuel Filter</v>
          </cell>
        </row>
        <row r="2885">
          <cell r="G2885" t="str">
            <v>PC774</v>
          </cell>
          <cell r="H2885" t="str">
            <v>PCV Valve</v>
          </cell>
        </row>
        <row r="2886">
          <cell r="G2886" t="str">
            <v>G6831</v>
          </cell>
          <cell r="H2886" t="str">
            <v>In-Line Fuel Filter</v>
          </cell>
        </row>
        <row r="2887">
          <cell r="G2887" t="str">
            <v>AF1058</v>
          </cell>
          <cell r="H2887" t="str">
            <v>Round Air Filter</v>
          </cell>
        </row>
        <row r="2888">
          <cell r="G2888" t="str">
            <v>AF7874</v>
          </cell>
          <cell r="H2888" t="str">
            <v>Cone Shaped Conical Air Filter</v>
          </cell>
        </row>
        <row r="2889">
          <cell r="G2889" t="str">
            <v>CAF7721</v>
          </cell>
          <cell r="H2889" t="str">
            <v>Cabin Air Filter (Carbon)</v>
          </cell>
        </row>
        <row r="2890">
          <cell r="G2890" t="str">
            <v>LP5922</v>
          </cell>
          <cell r="H2890" t="str">
            <v>Cartridge Oil Filter</v>
          </cell>
        </row>
        <row r="2891">
          <cell r="G2891" t="str">
            <v>CAF7791</v>
          </cell>
          <cell r="H2891" t="str">
            <v>Cabin Air Filter (Carbon)</v>
          </cell>
        </row>
        <row r="2892">
          <cell r="G2892" t="str">
            <v>PH2702</v>
          </cell>
          <cell r="H2892" t="str">
            <v>Spin-on Oil Filter</v>
          </cell>
        </row>
        <row r="2893">
          <cell r="G2893" t="str">
            <v>AF5230</v>
          </cell>
          <cell r="H2893" t="str">
            <v>Air Filter</v>
          </cell>
        </row>
        <row r="2894">
          <cell r="G2894" t="str">
            <v>PC84</v>
          </cell>
          <cell r="H2894" t="str">
            <v>PCV Valve</v>
          </cell>
        </row>
        <row r="2895">
          <cell r="G2895" t="str">
            <v>L9621F</v>
          </cell>
          <cell r="H2895" t="str">
            <v>Cartridge Fuel Filter</v>
          </cell>
        </row>
        <row r="2896">
          <cell r="G2896" t="str">
            <v>P824A</v>
          </cell>
          <cell r="H2896" t="str">
            <v>Cartridge Oil Filter</v>
          </cell>
        </row>
        <row r="2897">
          <cell r="G2897" t="str">
            <v>AF7948</v>
          </cell>
          <cell r="H2897" t="str">
            <v>Flexible Panel Air Filter</v>
          </cell>
        </row>
        <row r="2898">
          <cell r="G2898" t="str">
            <v>CAF1733</v>
          </cell>
          <cell r="H2898" t="str">
            <v>Cabin Air Filter</v>
          </cell>
        </row>
        <row r="2899">
          <cell r="G2899" t="str">
            <v>CAF1754</v>
          </cell>
          <cell r="H2899" t="str">
            <v>Cabin Air Filter</v>
          </cell>
        </row>
        <row r="2900">
          <cell r="G2900" t="str">
            <v>CAF1926P</v>
          </cell>
          <cell r="H2900" t="str">
            <v>Cabin Air Filter</v>
          </cell>
        </row>
        <row r="2901">
          <cell r="G2901" t="str">
            <v>PC144</v>
          </cell>
          <cell r="H2901" t="str">
            <v>PCV Valve</v>
          </cell>
        </row>
        <row r="2902">
          <cell r="G2902" t="str">
            <v>CAF1904C</v>
          </cell>
          <cell r="H2902" t="str">
            <v>Cabin Air Filter (Carbon)</v>
          </cell>
        </row>
        <row r="2903">
          <cell r="G2903" t="str">
            <v>CAF1712</v>
          </cell>
          <cell r="H2903" t="str">
            <v>Cabin Air Filter</v>
          </cell>
        </row>
        <row r="2904">
          <cell r="G2904" t="str">
            <v>AF3218</v>
          </cell>
          <cell r="H2904" t="str">
            <v>Panel Air Irregular Shaped Filter</v>
          </cell>
        </row>
        <row r="2905">
          <cell r="G2905" t="str">
            <v>AF3913</v>
          </cell>
          <cell r="H2905" t="str">
            <v>Panel Air Irregular Shaped Filter</v>
          </cell>
        </row>
        <row r="2906">
          <cell r="G2906" t="str">
            <v>G6530</v>
          </cell>
          <cell r="H2906" t="str">
            <v>In-Line Fuel Filter</v>
          </cell>
        </row>
        <row r="2907">
          <cell r="G2907" t="str">
            <v>LFP670G</v>
          </cell>
          <cell r="H2907" t="str">
            <v>Extended Life Spin-on Oil Filter</v>
          </cell>
        </row>
        <row r="2908">
          <cell r="G2908" t="str">
            <v>CAF1704</v>
          </cell>
          <cell r="H2908" t="str">
            <v>Cabin Air Filter</v>
          </cell>
        </row>
        <row r="2909">
          <cell r="G2909" t="str">
            <v>PC373</v>
          </cell>
          <cell r="H2909" t="str">
            <v>PCV Valve</v>
          </cell>
        </row>
        <row r="2910">
          <cell r="G2910" t="str">
            <v>LAF1710</v>
          </cell>
          <cell r="H2910" t="str">
            <v>HD Metal-End Air Filter</v>
          </cell>
        </row>
        <row r="2911">
          <cell r="G2911" t="str">
            <v>AF4050</v>
          </cell>
          <cell r="H2911" t="str">
            <v>Flexible Panel Air Filter</v>
          </cell>
        </row>
        <row r="2912">
          <cell r="G2912" t="str">
            <v>LAF1137</v>
          </cell>
          <cell r="H2912" t="str">
            <v>Metal-End Air Filter with Closed Top End Cap</v>
          </cell>
        </row>
        <row r="2913">
          <cell r="G2913" t="str">
            <v>LAF7531</v>
          </cell>
          <cell r="H2913" t="str">
            <v>HD Metal-End Air Filter</v>
          </cell>
        </row>
        <row r="2914">
          <cell r="G2914" t="str">
            <v>AF5586</v>
          </cell>
          <cell r="H2914" t="str">
            <v>Flexible Media Air Filter</v>
          </cell>
        </row>
        <row r="2915">
          <cell r="G2915" t="str">
            <v>CAF7789</v>
          </cell>
          <cell r="H2915" t="str">
            <v>Cabin Air Filter (Carbon)</v>
          </cell>
        </row>
        <row r="2916">
          <cell r="G2916" t="str">
            <v>CAF1894P</v>
          </cell>
          <cell r="H2916" t="str">
            <v>Cabin Air Filter</v>
          </cell>
        </row>
        <row r="2917">
          <cell r="G2917" t="str">
            <v>LAF6680</v>
          </cell>
          <cell r="H2917" t="str">
            <v>Panel Air Filter Metal Framed</v>
          </cell>
        </row>
        <row r="2918">
          <cell r="G2918" t="str">
            <v>AF97</v>
          </cell>
          <cell r="H2918" t="str">
            <v>Round Air Filter</v>
          </cell>
        </row>
        <row r="2919">
          <cell r="G2919" t="str">
            <v>G6647</v>
          </cell>
          <cell r="H2919" t="str">
            <v>In-Line Fuel Filter</v>
          </cell>
        </row>
        <row r="2920">
          <cell r="G2920" t="str">
            <v>CAF7764</v>
          </cell>
          <cell r="H2920" t="str">
            <v>Cabin Air Filter (Carbon)</v>
          </cell>
        </row>
        <row r="2921">
          <cell r="G2921" t="str">
            <v>LAF8407MXM</v>
          </cell>
          <cell r="H2921" t="str">
            <v xml:space="preserve">Nano Tech Air Filter HD Metal-End </v>
          </cell>
        </row>
        <row r="2922">
          <cell r="G2922" t="str">
            <v>G2988</v>
          </cell>
          <cell r="H2922" t="str">
            <v>Fuel Filter</v>
          </cell>
        </row>
        <row r="2923">
          <cell r="G2923" t="str">
            <v>AF26</v>
          </cell>
          <cell r="H2923" t="str">
            <v>Breather Filter</v>
          </cell>
        </row>
        <row r="2924">
          <cell r="G2924" t="str">
            <v>G6553</v>
          </cell>
          <cell r="H2924" t="str">
            <v>Fuel Filter</v>
          </cell>
        </row>
        <row r="2925">
          <cell r="G2925" t="str">
            <v>G6844</v>
          </cell>
          <cell r="H2925" t="str">
            <v>Fuel Filter</v>
          </cell>
        </row>
        <row r="2926">
          <cell r="G2926" t="str">
            <v>LAF8610</v>
          </cell>
          <cell r="H2926" t="str">
            <v>HD Metal-End Air Filter with Attached Lid</v>
          </cell>
        </row>
        <row r="2927">
          <cell r="G2927" t="str">
            <v>P988</v>
          </cell>
          <cell r="H2927" t="str">
            <v>Cartridge Oil Filter</v>
          </cell>
        </row>
        <row r="2928">
          <cell r="G2928" t="str">
            <v>AF378</v>
          </cell>
          <cell r="H2928" t="str">
            <v>Oval Air Filter</v>
          </cell>
        </row>
        <row r="2929">
          <cell r="G2929" t="str">
            <v>LH5571G</v>
          </cell>
          <cell r="H2929" t="str">
            <v>Cartridge Hydraulic Filter</v>
          </cell>
        </row>
        <row r="2930">
          <cell r="G2930" t="str">
            <v>AF137</v>
          </cell>
          <cell r="H2930" t="str">
            <v>Round Air Filter</v>
          </cell>
        </row>
        <row r="2931">
          <cell r="G2931" t="str">
            <v>LFF6354</v>
          </cell>
          <cell r="H2931" t="str">
            <v>Spin-on Fuel Filter</v>
          </cell>
        </row>
        <row r="2932">
          <cell r="G2932" t="str">
            <v>LFH5075</v>
          </cell>
          <cell r="H2932" t="str">
            <v>Spin-on Hydraulic Filter</v>
          </cell>
        </row>
        <row r="2933">
          <cell r="G2933" t="str">
            <v>LH4252</v>
          </cell>
          <cell r="H2933" t="str">
            <v>Cartridge Hydraulic Filter</v>
          </cell>
        </row>
        <row r="2934">
          <cell r="G2934" t="str">
            <v>CAF1711</v>
          </cell>
          <cell r="H2934" t="str">
            <v>Cabin Air Filter</v>
          </cell>
        </row>
        <row r="2935">
          <cell r="G2935" t="str">
            <v>AF7850</v>
          </cell>
          <cell r="H2935" t="str">
            <v>Rigid Panel Air Filter</v>
          </cell>
        </row>
        <row r="2936">
          <cell r="G2936" t="str">
            <v>G6397</v>
          </cell>
          <cell r="H2936" t="str">
            <v>In-Line Fuel Filter</v>
          </cell>
        </row>
        <row r="2937">
          <cell r="G2937" t="str">
            <v>G6634</v>
          </cell>
          <cell r="H2937" t="str">
            <v>In-Line Fuel Filter</v>
          </cell>
        </row>
        <row r="2938">
          <cell r="G2938" t="str">
            <v>LAF8818</v>
          </cell>
          <cell r="H2938" t="str">
            <v>HD Round Finned Air Filter with Attached Lid</v>
          </cell>
        </row>
        <row r="2939">
          <cell r="G2939" t="str">
            <v>LFH8535</v>
          </cell>
          <cell r="H2939" t="str">
            <v>Spin-on Hydraulic Filter</v>
          </cell>
        </row>
        <row r="2940">
          <cell r="G2940" t="str">
            <v>CAF1933P</v>
          </cell>
          <cell r="H2940" t="str">
            <v>Cabin Air Filter</v>
          </cell>
        </row>
        <row r="2941">
          <cell r="G2941" t="str">
            <v>L4367F</v>
          </cell>
          <cell r="H2941" t="str">
            <v>Cartridge Fuel Filter</v>
          </cell>
        </row>
        <row r="2942">
          <cell r="G2942" t="str">
            <v>LAF1711</v>
          </cell>
          <cell r="H2942" t="str">
            <v>Round Inner Air Filter</v>
          </cell>
        </row>
        <row r="2943">
          <cell r="G2943" t="str">
            <v>LH5840</v>
          </cell>
          <cell r="H2943" t="str">
            <v>Cartridge Hydraulic Filter</v>
          </cell>
        </row>
        <row r="2944">
          <cell r="G2944" t="str">
            <v>T168</v>
          </cell>
          <cell r="H2944" t="str">
            <v>Transmission Filter Kit</v>
          </cell>
        </row>
        <row r="2945">
          <cell r="G2945" t="str">
            <v>AF7876</v>
          </cell>
          <cell r="H2945" t="str">
            <v>Rigid Panel Air Filter</v>
          </cell>
        </row>
        <row r="2946">
          <cell r="G2946" t="str">
            <v>LAF3654</v>
          </cell>
          <cell r="H2946" t="str">
            <v>HD Metal-End Air Filter</v>
          </cell>
        </row>
        <row r="2947">
          <cell r="G2947" t="str">
            <v>LAF8589</v>
          </cell>
          <cell r="H2947" t="str">
            <v>HD Metal-End Air Filter-Inner</v>
          </cell>
        </row>
        <row r="2948">
          <cell r="G2948" t="str">
            <v>LFF3809</v>
          </cell>
          <cell r="H2948" t="str">
            <v>Spin-on Fuel Filter</v>
          </cell>
        </row>
        <row r="2949">
          <cell r="G2949" t="str">
            <v>LFH8875G</v>
          </cell>
          <cell r="H2949" t="str">
            <v>Spin-on Hydraulic Filter</v>
          </cell>
        </row>
        <row r="2950">
          <cell r="G2950" t="str">
            <v>AF3962</v>
          </cell>
          <cell r="H2950" t="str">
            <v>Radial Seal Outer Air Filter</v>
          </cell>
        </row>
        <row r="2951">
          <cell r="G2951" t="str">
            <v>AF4037</v>
          </cell>
          <cell r="H2951" t="str">
            <v>Rigid Panel Air Filter</v>
          </cell>
        </row>
        <row r="2952">
          <cell r="G2952" t="str">
            <v>LAF1763</v>
          </cell>
          <cell r="H2952" t="str">
            <v>HD Round Air Filter with Attached Lid</v>
          </cell>
        </row>
        <row r="2953">
          <cell r="G2953" t="str">
            <v>LAF1990</v>
          </cell>
          <cell r="H2953" t="str">
            <v>HD Metal-End Inner Air Filter</v>
          </cell>
        </row>
        <row r="2954">
          <cell r="G2954" t="str">
            <v>LAF3398</v>
          </cell>
          <cell r="H2954" t="str">
            <v>HD Metal-End Air Filter</v>
          </cell>
        </row>
        <row r="2955">
          <cell r="G2955" t="str">
            <v>LAF8577</v>
          </cell>
          <cell r="H2955" t="str">
            <v>HD Metal-End Air Filter</v>
          </cell>
        </row>
        <row r="2956">
          <cell r="G2956" t="str">
            <v>LK107M</v>
          </cell>
          <cell r="H2956" t="str">
            <v>Mack Engine Maintenance Kit</v>
          </cell>
        </row>
        <row r="2957">
          <cell r="G2957" t="str">
            <v>LP224</v>
          </cell>
          <cell r="H2957" t="str">
            <v>Cartridge Oil Filter</v>
          </cell>
        </row>
        <row r="2958">
          <cell r="G2958" t="str">
            <v>PC51</v>
          </cell>
          <cell r="H2958" t="str">
            <v>PCV Valve</v>
          </cell>
        </row>
        <row r="2959">
          <cell r="G2959" t="str">
            <v>LH11008V</v>
          </cell>
          <cell r="H2959" t="str">
            <v>Industrial Cartridge Hydraulic Filter</v>
          </cell>
        </row>
        <row r="2960">
          <cell r="G2960" t="str">
            <v>LP5899</v>
          </cell>
          <cell r="H2960" t="str">
            <v>Cartridge Oil Filter</v>
          </cell>
        </row>
        <row r="2961">
          <cell r="G2961" t="str">
            <v>AF662</v>
          </cell>
          <cell r="H2961" t="str">
            <v>Round Air Filter</v>
          </cell>
        </row>
        <row r="2962">
          <cell r="G2962" t="str">
            <v>L3576F</v>
          </cell>
          <cell r="H2962" t="str">
            <v>Cartridge Fuel Filter</v>
          </cell>
        </row>
        <row r="2963">
          <cell r="G2963" t="str">
            <v>LAF1843</v>
          </cell>
          <cell r="H2963" t="str">
            <v>HD Metal-End Air Filter</v>
          </cell>
        </row>
        <row r="2964">
          <cell r="G2964" t="str">
            <v>LAF5042</v>
          </cell>
          <cell r="H2964" t="str">
            <v>HD Round Finned Air Filter with Attached Lid</v>
          </cell>
        </row>
        <row r="2965">
          <cell r="G2965" t="str">
            <v>LAF6442</v>
          </cell>
          <cell r="H2965" t="str">
            <v>Metal-End Air Filter with Closed Top End Cap</v>
          </cell>
        </row>
        <row r="2966">
          <cell r="G2966" t="str">
            <v>LAF8604</v>
          </cell>
          <cell r="H2966" t="str">
            <v>HD Metal-End Air Filter with Attached Lid</v>
          </cell>
        </row>
        <row r="2967">
          <cell r="G2967" t="str">
            <v>LAF9089</v>
          </cell>
          <cell r="H2967" t="str">
            <v>Panel Air Filter Metal Framed</v>
          </cell>
        </row>
        <row r="2968">
          <cell r="G2968" t="str">
            <v>LFH4948</v>
          </cell>
          <cell r="H2968" t="str">
            <v>Spin-on Hydraulic Filter</v>
          </cell>
        </row>
        <row r="2969">
          <cell r="G2969" t="str">
            <v>AF5034</v>
          </cell>
          <cell r="H2969" t="str">
            <v>Air Filter</v>
          </cell>
        </row>
        <row r="2970">
          <cell r="G2970" t="str">
            <v>AF5848</v>
          </cell>
          <cell r="H2970" t="str">
            <v>Flexible Panel Air Filter</v>
          </cell>
        </row>
        <row r="2971">
          <cell r="G2971" t="str">
            <v>G6337</v>
          </cell>
          <cell r="H2971" t="str">
            <v>In-Line Fuel Filter</v>
          </cell>
        </row>
        <row r="2972">
          <cell r="G2972" t="str">
            <v>L267F</v>
          </cell>
          <cell r="H2972" t="str">
            <v>Cartridge Fuel Filter</v>
          </cell>
        </row>
        <row r="2973">
          <cell r="G2973" t="str">
            <v>LAF1898</v>
          </cell>
          <cell r="H2973" t="str">
            <v>HD Metal-End Inner Air Filter</v>
          </cell>
        </row>
        <row r="2974">
          <cell r="G2974" t="str">
            <v>LAF4607</v>
          </cell>
          <cell r="H2974" t="str">
            <v>HD Metal-End Air Filter</v>
          </cell>
        </row>
        <row r="2975">
          <cell r="G2975" t="str">
            <v>LAF8587</v>
          </cell>
          <cell r="H2975" t="str">
            <v>HD Metal-End Air Filter-Inner</v>
          </cell>
        </row>
        <row r="2976">
          <cell r="G2976" t="str">
            <v>LAF8839</v>
          </cell>
          <cell r="H2976" t="str">
            <v>Round Inner Air Filter</v>
          </cell>
        </row>
        <row r="2977">
          <cell r="G2977" t="str">
            <v>LFH4200</v>
          </cell>
          <cell r="H2977" t="str">
            <v>Spin-on Hydraulic Filter</v>
          </cell>
        </row>
        <row r="2978">
          <cell r="G2978" t="str">
            <v>LFH4635G</v>
          </cell>
          <cell r="H2978" t="str">
            <v>Spin-on Hydraulic Filter</v>
          </cell>
        </row>
        <row r="2979">
          <cell r="G2979" t="str">
            <v>LH5854</v>
          </cell>
          <cell r="H2979" t="str">
            <v>Cartridge Hydraulic Filter</v>
          </cell>
        </row>
        <row r="2980">
          <cell r="G2980" t="str">
            <v>LH95037V</v>
          </cell>
          <cell r="H2980" t="str">
            <v>Cartridge Hydraulic Filter</v>
          </cell>
        </row>
        <row r="2981">
          <cell r="G2981" t="str">
            <v>AF374</v>
          </cell>
          <cell r="H2981" t="str">
            <v>Special Configuration Air Filter</v>
          </cell>
        </row>
        <row r="2982">
          <cell r="G2982" t="str">
            <v>AF607</v>
          </cell>
          <cell r="H2982" t="str">
            <v>Round Air Filter</v>
          </cell>
        </row>
        <row r="2983">
          <cell r="G2983" t="str">
            <v>AF7960</v>
          </cell>
          <cell r="H2983" t="str">
            <v>Flexible Panel Air Filter</v>
          </cell>
        </row>
        <row r="2984">
          <cell r="G2984" t="str">
            <v>CAF1737</v>
          </cell>
          <cell r="H2984" t="str">
            <v>Cabin Air Filter</v>
          </cell>
        </row>
        <row r="2985">
          <cell r="G2985" t="str">
            <v>CAF1811C</v>
          </cell>
          <cell r="H2985" t="str">
            <v>Cabin Air Filter (Carbon)</v>
          </cell>
        </row>
        <row r="2986">
          <cell r="G2986" t="str">
            <v>CAF7793</v>
          </cell>
          <cell r="H2986" t="str">
            <v>Cabin Air Filter (Carbon)</v>
          </cell>
        </row>
        <row r="2987">
          <cell r="G2987" t="str">
            <v>G247</v>
          </cell>
          <cell r="H2987" t="str">
            <v>Fuel Filter</v>
          </cell>
        </row>
        <row r="2988">
          <cell r="G2988" t="str">
            <v>G2901</v>
          </cell>
          <cell r="H2988" t="str">
            <v>In-Line Fuel Filter</v>
          </cell>
        </row>
        <row r="2989">
          <cell r="G2989" t="str">
            <v>G2936</v>
          </cell>
          <cell r="H2989" t="str">
            <v>Fuel Filter</v>
          </cell>
        </row>
        <row r="2990">
          <cell r="G2990" t="str">
            <v>G2998</v>
          </cell>
          <cell r="H2990" t="str">
            <v>Fuel Filter</v>
          </cell>
        </row>
        <row r="2991">
          <cell r="G2991" t="str">
            <v>G441</v>
          </cell>
          <cell r="H2991" t="str">
            <v>Fuel Filter</v>
          </cell>
        </row>
        <row r="2992">
          <cell r="G2992" t="str">
            <v>G6399</v>
          </cell>
          <cell r="H2992" t="str">
            <v>In-Line Fuel Filter</v>
          </cell>
        </row>
        <row r="2993">
          <cell r="G2993" t="str">
            <v>G6526</v>
          </cell>
          <cell r="H2993" t="str">
            <v>In-Line Fuel Filter</v>
          </cell>
        </row>
        <row r="2994">
          <cell r="G2994" t="str">
            <v>G8271</v>
          </cell>
          <cell r="H2994" t="str">
            <v>In-Line Fuel Filter</v>
          </cell>
        </row>
        <row r="2995">
          <cell r="G2995" t="str">
            <v>L24A</v>
          </cell>
          <cell r="H2995" t="str">
            <v>Sock Type Oil Filter</v>
          </cell>
        </row>
        <row r="2996">
          <cell r="G2996" t="str">
            <v>L3892F</v>
          </cell>
          <cell r="H2996" t="str">
            <v>Snap-lock Fuel/Water Separator Filter</v>
          </cell>
        </row>
        <row r="2997">
          <cell r="G2997" t="str">
            <v>L91F</v>
          </cell>
          <cell r="H2997" t="str">
            <v>Cartridge Fuel Filter</v>
          </cell>
        </row>
        <row r="2998">
          <cell r="G2998" t="str">
            <v>LAF1464</v>
          </cell>
          <cell r="H2998" t="str">
            <v>Round Air Filter</v>
          </cell>
        </row>
        <row r="2999">
          <cell r="G2999" t="str">
            <v>LAF1479</v>
          </cell>
          <cell r="H2999" t="str">
            <v>Round Plastisol Air Filter</v>
          </cell>
        </row>
        <row r="3000">
          <cell r="G3000" t="str">
            <v>LAF1748</v>
          </cell>
          <cell r="H3000" t="str">
            <v>HD Metal-End Inner Air Filter</v>
          </cell>
        </row>
        <row r="3001">
          <cell r="G3001" t="str">
            <v>LAF1805</v>
          </cell>
          <cell r="H3001" t="str">
            <v>HD Metal-End Air Filter</v>
          </cell>
        </row>
        <row r="3002">
          <cell r="G3002" t="str">
            <v>LAF1825</v>
          </cell>
          <cell r="H3002" t="str">
            <v>Disposible Housing Air Filter</v>
          </cell>
        </row>
        <row r="3003">
          <cell r="G3003" t="str">
            <v>LAF22031</v>
          </cell>
          <cell r="H3003" t="str">
            <v>Flexible Panel Air Filter</v>
          </cell>
        </row>
        <row r="3004">
          <cell r="G3004" t="str">
            <v>LAF310</v>
          </cell>
          <cell r="H3004" t="str">
            <v>HD Metal-End Air Filter</v>
          </cell>
        </row>
        <row r="3005">
          <cell r="G3005" t="str">
            <v>LAF3344</v>
          </cell>
          <cell r="H3005" t="str">
            <v>HD Metal-End Air Filter</v>
          </cell>
        </row>
        <row r="3006">
          <cell r="G3006" t="str">
            <v>LAF398</v>
          </cell>
          <cell r="H3006" t="str">
            <v>HD Metal-End Air Filter</v>
          </cell>
        </row>
        <row r="3007">
          <cell r="G3007" t="str">
            <v>LAF4331</v>
          </cell>
          <cell r="H3007" t="str">
            <v>HD Metal-End Air Filter with Attached Lid</v>
          </cell>
        </row>
        <row r="3008">
          <cell r="G3008" t="str">
            <v>LAF5757</v>
          </cell>
          <cell r="H3008" t="str">
            <v>HD Metal-End Air Filter</v>
          </cell>
        </row>
        <row r="3009">
          <cell r="G3009" t="str">
            <v>LAF5798</v>
          </cell>
          <cell r="H3009" t="str">
            <v>Round Air Filter</v>
          </cell>
        </row>
        <row r="3010">
          <cell r="G3010" t="str">
            <v>LAF5831</v>
          </cell>
          <cell r="H3010" t="str">
            <v>Rigid Panel Air Filter</v>
          </cell>
        </row>
        <row r="3011">
          <cell r="G3011" t="str">
            <v>LAF75</v>
          </cell>
          <cell r="H3011" t="str">
            <v>HD Metal-End Air Filter</v>
          </cell>
        </row>
        <row r="3012">
          <cell r="G3012" t="str">
            <v>LAF7727</v>
          </cell>
          <cell r="H3012" t="str">
            <v>HD Metal-End Air Filter</v>
          </cell>
        </row>
        <row r="3013">
          <cell r="G3013" t="str">
            <v>LAF826</v>
          </cell>
          <cell r="H3013" t="str">
            <v>HD Metal-End Air Filter</v>
          </cell>
        </row>
        <row r="3014">
          <cell r="G3014" t="str">
            <v>LAF8529</v>
          </cell>
          <cell r="H3014" t="str">
            <v>HD Round Air Filter with Attached Boot</v>
          </cell>
        </row>
        <row r="3015">
          <cell r="G3015" t="str">
            <v>LAF8609</v>
          </cell>
          <cell r="H3015" t="str">
            <v>HD Metal-End Air Filter</v>
          </cell>
        </row>
        <row r="3016">
          <cell r="G3016" t="str">
            <v>LAF8629</v>
          </cell>
          <cell r="H3016" t="str">
            <v>HD Metal-End Air Filter with Attached Lid</v>
          </cell>
        </row>
        <row r="3017">
          <cell r="G3017" t="str">
            <v>LAF8666</v>
          </cell>
          <cell r="H3017" t="str">
            <v>HD Round Air Filter with Attached Boot</v>
          </cell>
        </row>
        <row r="3018">
          <cell r="G3018" t="str">
            <v>LAF8976</v>
          </cell>
          <cell r="H3018" t="str">
            <v>HD Round Finned Air Filter with Attached Lid</v>
          </cell>
        </row>
        <row r="3019">
          <cell r="G3019" t="str">
            <v>LAF9532</v>
          </cell>
          <cell r="H3019" t="str">
            <v>HD Metal-End Air Filter</v>
          </cell>
        </row>
        <row r="3020">
          <cell r="G3020" t="str">
            <v>LAF9685</v>
          </cell>
          <cell r="H3020" t="str">
            <v>HD Metal-End Air Filter</v>
          </cell>
        </row>
        <row r="3021">
          <cell r="G3021" t="str">
            <v>LFF3503</v>
          </cell>
          <cell r="H3021" t="str">
            <v>Cartridge Fuel Filter</v>
          </cell>
        </row>
        <row r="3022">
          <cell r="G3022" t="str">
            <v>LFF8258</v>
          </cell>
          <cell r="H3022" t="str">
            <v>Spin-on Fuel Filter</v>
          </cell>
        </row>
        <row r="3023">
          <cell r="G3023" t="str">
            <v>LFH22016</v>
          </cell>
          <cell r="H3023" t="str">
            <v>Spin-on Hydraulic Filter</v>
          </cell>
        </row>
        <row r="3024">
          <cell r="G3024" t="str">
            <v>LH11028</v>
          </cell>
          <cell r="H3024" t="str">
            <v>Industrial Cartridge Hydraulic Filter</v>
          </cell>
        </row>
        <row r="3025">
          <cell r="G3025" t="str">
            <v>LH22153</v>
          </cell>
          <cell r="H3025" t="str">
            <v>Cartridge Hydraulic Filter</v>
          </cell>
        </row>
        <row r="3026">
          <cell r="G3026" t="str">
            <v>LH4852</v>
          </cell>
          <cell r="H3026" t="str">
            <v>Cartridge Hydraulic Filter</v>
          </cell>
        </row>
        <row r="3027">
          <cell r="G3027" t="str">
            <v>LH4859V</v>
          </cell>
          <cell r="H3027" t="str">
            <v>Cartridge Hydraulic Filter</v>
          </cell>
        </row>
        <row r="3028">
          <cell r="G3028" t="str">
            <v>LH5006</v>
          </cell>
          <cell r="H3028" t="str">
            <v>Cartridge Hydraulic Filter</v>
          </cell>
        </row>
        <row r="3029">
          <cell r="G3029" t="str">
            <v>LH5020</v>
          </cell>
          <cell r="H3029" t="str">
            <v>Cartridge Hydraulic Filter</v>
          </cell>
        </row>
        <row r="3030">
          <cell r="G3030" t="str">
            <v>LH9304V</v>
          </cell>
          <cell r="H3030" t="str">
            <v>Cartridge Hydraulic Filter</v>
          </cell>
        </row>
        <row r="3031">
          <cell r="G3031" t="str">
            <v>LH9390V</v>
          </cell>
          <cell r="H3031" t="str">
            <v>Cartridge Hydraulic Filter</v>
          </cell>
        </row>
        <row r="3032">
          <cell r="G3032" t="str">
            <v>LH9681V</v>
          </cell>
          <cell r="H3032" t="str">
            <v>Industrial Hydraulic Filter</v>
          </cell>
        </row>
        <row r="3033">
          <cell r="G3033" t="str">
            <v>LK115I</v>
          </cell>
          <cell r="H3033" t="str">
            <v>International Engine Maintenance Kit</v>
          </cell>
        </row>
        <row r="3034">
          <cell r="G3034" t="str">
            <v>LK294CR</v>
          </cell>
          <cell r="H3034" t="str">
            <v>Carrier Transcold Engine Maintenance Kit</v>
          </cell>
        </row>
        <row r="3035">
          <cell r="G3035" t="str">
            <v>LK322DF</v>
          </cell>
          <cell r="H3035" t="str">
            <v>Thermo King Engine Maintenance Kit</v>
          </cell>
        </row>
        <row r="3036">
          <cell r="G3036" t="str">
            <v>LK342M</v>
          </cell>
          <cell r="H3036" t="str">
            <v>Mack Engine Maintenance Kit</v>
          </cell>
        </row>
        <row r="3037">
          <cell r="G3037" t="str">
            <v>LP1670</v>
          </cell>
          <cell r="H3037" t="str">
            <v>Cartridge Oil Filter</v>
          </cell>
        </row>
        <row r="3038">
          <cell r="G3038" t="str">
            <v>LP4414</v>
          </cell>
          <cell r="H3038" t="str">
            <v>Cartridge Oil Filter</v>
          </cell>
        </row>
        <row r="3039">
          <cell r="G3039" t="str">
            <v>LP4416</v>
          </cell>
          <cell r="H3039" t="str">
            <v>Cartridge Hydraulic Filter</v>
          </cell>
        </row>
        <row r="3040">
          <cell r="G3040" t="str">
            <v>RETAINING</v>
          </cell>
          <cell r="H3040" t="str">
            <v>Retaining Ring/F-120, 155, 170</v>
          </cell>
        </row>
        <row r="3041">
          <cell r="G3041" t="str">
            <v>750-C</v>
          </cell>
          <cell r="H3041" t="str">
            <v>Diesel Unit Universal Mount 750C</v>
          </cell>
        </row>
        <row r="3042">
          <cell r="G3042">
            <v>500</v>
          </cell>
          <cell r="H3042" t="str">
            <v>DIESEL PK 500</v>
          </cell>
        </row>
        <row r="3043">
          <cell r="G3043" t="str">
            <v>G485</v>
          </cell>
          <cell r="H3043" t="str">
            <v>In-Line Fuel Filter</v>
          </cell>
        </row>
        <row r="3044">
          <cell r="G3044" t="str">
            <v>LAF1904</v>
          </cell>
          <cell r="H3044" t="str">
            <v>HD Metal-End Air Filter</v>
          </cell>
        </row>
        <row r="3045">
          <cell r="G3045" t="str">
            <v>LAF1977</v>
          </cell>
          <cell r="H3045" t="str">
            <v>HD Metal-End Air Filter-Inner</v>
          </cell>
        </row>
        <row r="3046">
          <cell r="G3046" t="str">
            <v>LAF8627</v>
          </cell>
          <cell r="H3046" t="str">
            <v>Finned Vane Air Filter</v>
          </cell>
        </row>
        <row r="3047">
          <cell r="G3047" t="str">
            <v>AF7869</v>
          </cell>
          <cell r="H3047" t="str">
            <v>Rigid Panel Air Filter</v>
          </cell>
        </row>
        <row r="3048">
          <cell r="G3048" t="str">
            <v>LP5597</v>
          </cell>
          <cell r="H3048" t="str">
            <v>Cartridge Oil Filter</v>
          </cell>
        </row>
        <row r="3049">
          <cell r="G3049" t="str">
            <v>CAF1825P</v>
          </cell>
          <cell r="H3049" t="str">
            <v>Cabin Air Filter</v>
          </cell>
        </row>
        <row r="3050">
          <cell r="G3050" t="str">
            <v>AF3895</v>
          </cell>
          <cell r="H3050" t="str">
            <v>Flexible Panel Air Filter</v>
          </cell>
        </row>
        <row r="3051">
          <cell r="G3051" t="str">
            <v>PH787</v>
          </cell>
          <cell r="H3051" t="str">
            <v>Spin-on By-Pass Oil Filter</v>
          </cell>
        </row>
        <row r="3052">
          <cell r="G3052" t="str">
            <v>CAF1911P</v>
          </cell>
          <cell r="H3052" t="str">
            <v>Cabin Air Filter</v>
          </cell>
        </row>
        <row r="3053">
          <cell r="G3053" t="str">
            <v>CAF1721</v>
          </cell>
          <cell r="H3053" t="str">
            <v>Cabin Air Filter</v>
          </cell>
        </row>
        <row r="3054">
          <cell r="G3054" t="str">
            <v>AF7913</v>
          </cell>
          <cell r="H3054" t="str">
            <v>Flexible Panel Air Filter</v>
          </cell>
        </row>
        <row r="3055">
          <cell r="G3055" t="str">
            <v>AF7981</v>
          </cell>
          <cell r="H3055" t="str">
            <v>Radial Seal Air Filter</v>
          </cell>
        </row>
        <row r="3056">
          <cell r="G3056" t="str">
            <v>CAF1809P</v>
          </cell>
          <cell r="H3056" t="str">
            <v>Cabin Air Filter</v>
          </cell>
        </row>
        <row r="3057">
          <cell r="G3057" t="str">
            <v>AF7991</v>
          </cell>
          <cell r="H3057" t="str">
            <v>Round Panel Air Filter</v>
          </cell>
        </row>
        <row r="3058">
          <cell r="G3058" t="str">
            <v>AF3593</v>
          </cell>
          <cell r="H3058" t="str">
            <v>Flexible Panel Air Filter</v>
          </cell>
        </row>
        <row r="3059">
          <cell r="G3059" t="str">
            <v>AF3940</v>
          </cell>
          <cell r="H3059" t="str">
            <v>Special Round Construction</v>
          </cell>
        </row>
        <row r="3060">
          <cell r="G3060" t="str">
            <v>AF3096</v>
          </cell>
          <cell r="H3060" t="str">
            <v>Panel Air Irregular Shaped Filter</v>
          </cell>
        </row>
        <row r="3061">
          <cell r="G3061" t="str">
            <v>AF5191</v>
          </cell>
          <cell r="H3061" t="str">
            <v>Flexible Panel Air Filter</v>
          </cell>
        </row>
        <row r="3062">
          <cell r="G3062" t="str">
            <v>P834</v>
          </cell>
          <cell r="H3062" t="str">
            <v>Cartridge Oil Filter</v>
          </cell>
        </row>
        <row r="3063">
          <cell r="G3063" t="str">
            <v>AF351</v>
          </cell>
          <cell r="H3063" t="str">
            <v>Rigid Panel Air Filter</v>
          </cell>
        </row>
        <row r="3064">
          <cell r="G3064" t="str">
            <v>AF7836</v>
          </cell>
          <cell r="H3064" t="str">
            <v>Rigid Panel Air Filter</v>
          </cell>
        </row>
        <row r="3065">
          <cell r="G3065" t="str">
            <v>AF3598</v>
          </cell>
          <cell r="H3065" t="str">
            <v>Flexible Panel Air Filter</v>
          </cell>
        </row>
        <row r="3066">
          <cell r="G3066" t="str">
            <v>P2470</v>
          </cell>
          <cell r="H3066" t="str">
            <v>Cartridge Oil Filter</v>
          </cell>
        </row>
        <row r="3067">
          <cell r="G3067" t="str">
            <v>AF7880</v>
          </cell>
          <cell r="H3067" t="str">
            <v>Panel Air Irregular Shaped Filter</v>
          </cell>
        </row>
        <row r="3068">
          <cell r="G3068" t="str">
            <v>AF3977</v>
          </cell>
          <cell r="H3068" t="str">
            <v>Rigid Panel Air Filter</v>
          </cell>
        </row>
        <row r="3069">
          <cell r="G3069" t="str">
            <v>G6585</v>
          </cell>
          <cell r="H3069" t="str">
            <v>In-Line Fuel Filter</v>
          </cell>
        </row>
        <row r="3070">
          <cell r="G3070" t="str">
            <v>CAF1784</v>
          </cell>
          <cell r="H3070" t="str">
            <v>Cabin Air Filter</v>
          </cell>
        </row>
        <row r="3071">
          <cell r="G3071" t="str">
            <v>AF7918</v>
          </cell>
          <cell r="H3071" t="str">
            <v>Flexible Panel Air Filter</v>
          </cell>
        </row>
        <row r="3072">
          <cell r="G3072" t="str">
            <v>AF1630</v>
          </cell>
          <cell r="H3072" t="str">
            <v>Flexible Panel Air Filter</v>
          </cell>
        </row>
        <row r="3073">
          <cell r="G3073" t="str">
            <v>G1114</v>
          </cell>
          <cell r="H3073" t="str">
            <v>In-Line Fuel Filter</v>
          </cell>
        </row>
        <row r="3074">
          <cell r="G3074" t="str">
            <v>AF7849</v>
          </cell>
          <cell r="H3074" t="str">
            <v>Flexible Panel Air Filter</v>
          </cell>
        </row>
        <row r="3075">
          <cell r="G3075" t="str">
            <v>AF350</v>
          </cell>
          <cell r="H3075" t="str">
            <v>Round Air Filter</v>
          </cell>
        </row>
        <row r="3076">
          <cell r="G3076" t="str">
            <v>P845</v>
          </cell>
          <cell r="H3076" t="str">
            <v>Cartridge Oil Filter</v>
          </cell>
        </row>
        <row r="3077">
          <cell r="G3077" t="str">
            <v>L3519F</v>
          </cell>
          <cell r="H3077" t="str">
            <v>Cartridge Fuel Filter</v>
          </cell>
        </row>
        <row r="3078">
          <cell r="G3078" t="str">
            <v>G1056</v>
          </cell>
          <cell r="H3078" t="str">
            <v>In-Line Fuel Filter</v>
          </cell>
        </row>
        <row r="3079">
          <cell r="G3079" t="str">
            <v>PC287</v>
          </cell>
          <cell r="H3079" t="str">
            <v>PCV Valve</v>
          </cell>
        </row>
        <row r="3080">
          <cell r="G3080" t="str">
            <v>AF372</v>
          </cell>
          <cell r="H3080" t="str">
            <v>Rigid Panel Air Filter</v>
          </cell>
        </row>
        <row r="3081">
          <cell r="G3081" t="str">
            <v>PC228</v>
          </cell>
          <cell r="H3081" t="str">
            <v>PCV Valve</v>
          </cell>
        </row>
        <row r="3082">
          <cell r="G3082" t="str">
            <v>AF7954</v>
          </cell>
          <cell r="H3082" t="str">
            <v>Rigid Panel Air Filter</v>
          </cell>
        </row>
        <row r="3083">
          <cell r="G3083" t="str">
            <v>G6578</v>
          </cell>
          <cell r="H3083" t="str">
            <v>In-Line Fuel Filter</v>
          </cell>
        </row>
        <row r="3084">
          <cell r="G3084" t="str">
            <v>LAF1853</v>
          </cell>
          <cell r="H3084" t="str">
            <v>HD Metal-End Air Filter</v>
          </cell>
        </row>
        <row r="3085">
          <cell r="G3085" t="str">
            <v>AF307</v>
          </cell>
          <cell r="H3085" t="str">
            <v>Round Air Filter</v>
          </cell>
        </row>
        <row r="3086">
          <cell r="G3086" t="str">
            <v>L8924F</v>
          </cell>
          <cell r="H3086" t="str">
            <v>Cartridge Fuel Filter</v>
          </cell>
        </row>
        <row r="3087">
          <cell r="G3087" t="str">
            <v>T658</v>
          </cell>
          <cell r="H3087" t="str">
            <v>Transmission Filter Kit</v>
          </cell>
        </row>
        <row r="3088">
          <cell r="G3088" t="str">
            <v>AF3898</v>
          </cell>
          <cell r="H3088" t="str">
            <v>Special Round Construction</v>
          </cell>
        </row>
        <row r="3089">
          <cell r="G3089" t="str">
            <v>LP70V</v>
          </cell>
          <cell r="H3089" t="str">
            <v>Cartridge Oil Filter</v>
          </cell>
        </row>
        <row r="3090">
          <cell r="G3090" t="str">
            <v>CAF1791</v>
          </cell>
          <cell r="H3090" t="str">
            <v>Cabin Air Filter</v>
          </cell>
        </row>
        <row r="3091">
          <cell r="G3091" t="str">
            <v>PC87</v>
          </cell>
          <cell r="H3091" t="str">
            <v>PCV Valve</v>
          </cell>
        </row>
        <row r="3092">
          <cell r="G3092" t="str">
            <v>AF3989</v>
          </cell>
          <cell r="H3092" t="str">
            <v>Flexible Panel Air Filter</v>
          </cell>
        </row>
        <row r="3093">
          <cell r="G3093" t="str">
            <v>AF5694</v>
          </cell>
          <cell r="H3093" t="str">
            <v>Panel Air Irregular Shaped Filter</v>
          </cell>
        </row>
        <row r="3094">
          <cell r="G3094" t="str">
            <v>LFF8774</v>
          </cell>
          <cell r="H3094" t="str">
            <v>Spin-on Fuel Filter</v>
          </cell>
        </row>
        <row r="3095">
          <cell r="G3095" t="str">
            <v>CAF1771</v>
          </cell>
          <cell r="H3095" t="str">
            <v>Cabin Air Filter</v>
          </cell>
        </row>
        <row r="3096">
          <cell r="G3096" t="str">
            <v>AF5204</v>
          </cell>
          <cell r="H3096" t="str">
            <v>Rigid Panel Air Filter</v>
          </cell>
        </row>
        <row r="3097">
          <cell r="G3097" t="str">
            <v>G454</v>
          </cell>
          <cell r="H3097" t="str">
            <v>In-Line Fuel Filter</v>
          </cell>
        </row>
        <row r="3098">
          <cell r="G3098" t="str">
            <v>G2946</v>
          </cell>
          <cell r="H3098" t="str">
            <v>In-Line Fuel Filter</v>
          </cell>
        </row>
        <row r="3099">
          <cell r="G3099" t="str">
            <v>LFP8250</v>
          </cell>
          <cell r="H3099" t="str">
            <v>Spin-on Oil Filter</v>
          </cell>
        </row>
        <row r="3100">
          <cell r="G3100" t="str">
            <v>A340</v>
          </cell>
          <cell r="H3100" t="str">
            <v>Cartridge to Spin-on conversion kit. Contains adaptor lock plate and gaskets. Use LFP670 oil filter</v>
          </cell>
        </row>
        <row r="3101">
          <cell r="G3101" t="str">
            <v>CAF1833P</v>
          </cell>
          <cell r="H3101" t="str">
            <v>Cabin Air Filter</v>
          </cell>
        </row>
        <row r="3102">
          <cell r="G3102" t="str">
            <v>CAF1902C</v>
          </cell>
          <cell r="H3102" t="str">
            <v>Cabin Air Filter (Carbon)</v>
          </cell>
        </row>
        <row r="3103">
          <cell r="G3103" t="str">
            <v>LAF3655</v>
          </cell>
          <cell r="H3103" t="str">
            <v>HD Metal-End Air Filter</v>
          </cell>
        </row>
        <row r="3104">
          <cell r="G3104" t="str">
            <v>CAF1945P</v>
          </cell>
          <cell r="H3104" t="str">
            <v>Cabin Air Filter</v>
          </cell>
        </row>
        <row r="3105">
          <cell r="G3105" t="str">
            <v>PC2</v>
          </cell>
          <cell r="H3105" t="str">
            <v>PCV Valve</v>
          </cell>
        </row>
        <row r="3106">
          <cell r="G3106" t="str">
            <v>AF294</v>
          </cell>
          <cell r="H3106" t="str">
            <v>Flexible Panel Air Filter</v>
          </cell>
        </row>
        <row r="3107">
          <cell r="G3107" t="str">
            <v>LAF8768</v>
          </cell>
          <cell r="H3107" t="str">
            <v>Round Inner Air Filter</v>
          </cell>
        </row>
        <row r="3108">
          <cell r="G3108" t="str">
            <v>LFH8222</v>
          </cell>
          <cell r="H3108" t="str">
            <v>Spin-on Hydraulic Filter</v>
          </cell>
        </row>
        <row r="3109">
          <cell r="G3109" t="str">
            <v>P906</v>
          </cell>
          <cell r="H3109" t="str">
            <v>Cartridge Oil Filter</v>
          </cell>
        </row>
        <row r="3110">
          <cell r="G3110" t="str">
            <v>CAF1906P</v>
          </cell>
          <cell r="H3110" t="str">
            <v>Cabin Air Filter</v>
          </cell>
        </row>
        <row r="3111">
          <cell r="G3111" t="str">
            <v>G1062</v>
          </cell>
          <cell r="H3111" t="str">
            <v>In-Line Fuel Filter</v>
          </cell>
        </row>
        <row r="3112">
          <cell r="G3112" t="str">
            <v>G6537</v>
          </cell>
          <cell r="H3112" t="str">
            <v>In-Line Fuel Filter</v>
          </cell>
        </row>
        <row r="3113">
          <cell r="G3113" t="str">
            <v>L3548F</v>
          </cell>
          <cell r="H3113" t="str">
            <v>Cartridge Fuel Filter</v>
          </cell>
        </row>
        <row r="3114">
          <cell r="G3114" t="str">
            <v>LAF4631</v>
          </cell>
          <cell r="H3114" t="str">
            <v>HD Metal-End Air Filter</v>
          </cell>
        </row>
        <row r="3115">
          <cell r="G3115" t="str">
            <v>LAF8574</v>
          </cell>
          <cell r="H3115" t="str">
            <v>HD Metal-End Air Filter-Inner</v>
          </cell>
        </row>
        <row r="3116">
          <cell r="G3116" t="str">
            <v>LH9191</v>
          </cell>
          <cell r="H3116" t="str">
            <v>Cartridge Hydraulic Filter</v>
          </cell>
        </row>
        <row r="3117">
          <cell r="G3117" t="str">
            <v>AF600</v>
          </cell>
          <cell r="H3117" t="str">
            <v>Oval Air Filter</v>
          </cell>
        </row>
        <row r="3118">
          <cell r="G3118" t="str">
            <v>LAF9961</v>
          </cell>
          <cell r="H3118" t="str">
            <v>HD Metal-End Air Filter</v>
          </cell>
        </row>
        <row r="3119">
          <cell r="G3119" t="str">
            <v>G6361</v>
          </cell>
          <cell r="H3119" t="str">
            <v>In-Line Fuel Filter</v>
          </cell>
        </row>
        <row r="3120">
          <cell r="G3120" t="str">
            <v>LAF1766</v>
          </cell>
          <cell r="H3120" t="str">
            <v>Round Air Filter</v>
          </cell>
        </row>
        <row r="3121">
          <cell r="G3121" t="str">
            <v>LAF8970</v>
          </cell>
          <cell r="H3121" t="str">
            <v>HD Metal-End Air Filter</v>
          </cell>
        </row>
        <row r="3122">
          <cell r="G3122" t="str">
            <v>AF3960</v>
          </cell>
          <cell r="H3122" t="str">
            <v>Rigid Panel Air Filter</v>
          </cell>
        </row>
        <row r="3123">
          <cell r="G3123" t="str">
            <v>CAF1935P</v>
          </cell>
          <cell r="H3123" t="str">
            <v>Cabin Air Filter</v>
          </cell>
        </row>
        <row r="3124">
          <cell r="G3124" t="str">
            <v>LAF1012</v>
          </cell>
          <cell r="H3124" t="str">
            <v>Round Air Filter</v>
          </cell>
        </row>
        <row r="3125">
          <cell r="G3125" t="str">
            <v>AF1048</v>
          </cell>
          <cell r="H3125" t="str">
            <v>Round Air Filter</v>
          </cell>
        </row>
        <row r="3126">
          <cell r="G3126" t="str">
            <v>CAF1928P</v>
          </cell>
          <cell r="H3126" t="str">
            <v>Cabin Air Filter</v>
          </cell>
        </row>
        <row r="3127">
          <cell r="G3127" t="str">
            <v>LAF1640</v>
          </cell>
          <cell r="H3127" t="str">
            <v>Oval Air Filter</v>
          </cell>
        </row>
        <row r="3128">
          <cell r="G3128" t="str">
            <v>LAF1930</v>
          </cell>
          <cell r="H3128" t="str">
            <v>HD Metal-End Inner Air Filter</v>
          </cell>
        </row>
        <row r="3129">
          <cell r="G3129" t="str">
            <v>LAF1974</v>
          </cell>
          <cell r="H3129" t="str">
            <v>Round Air Filter</v>
          </cell>
        </row>
        <row r="3130">
          <cell r="G3130" t="str">
            <v>LFH4968</v>
          </cell>
          <cell r="H3130" t="str">
            <v>Spin-on Hydraulic Filter</v>
          </cell>
        </row>
        <row r="3131">
          <cell r="G3131" t="str">
            <v>LH4238</v>
          </cell>
          <cell r="H3131" t="str">
            <v>Cartridge Hydraulic Filter</v>
          </cell>
        </row>
        <row r="3132">
          <cell r="G3132" t="str">
            <v>LK1M</v>
          </cell>
          <cell r="H3132" t="str">
            <v>Mack Engine Maintenance Kit</v>
          </cell>
        </row>
        <row r="3133">
          <cell r="G3133" t="str">
            <v>LAF1882</v>
          </cell>
          <cell r="H3133" t="str">
            <v>HD Metal-End Air Filter</v>
          </cell>
        </row>
        <row r="3134">
          <cell r="G3134" t="str">
            <v>CAF1827P</v>
          </cell>
          <cell r="H3134" t="str">
            <v>Cabin Air Filter</v>
          </cell>
        </row>
        <row r="3135">
          <cell r="G3135" t="str">
            <v>LAF9111</v>
          </cell>
          <cell r="H3135" t="str">
            <v>Finned Vane Air Filter With Attached Lid</v>
          </cell>
        </row>
        <row r="3136">
          <cell r="G3136" t="str">
            <v>LFF6961</v>
          </cell>
          <cell r="H3136" t="str">
            <v>Spin-on Fuel Water Separator Filter</v>
          </cell>
        </row>
        <row r="3137">
          <cell r="G3137" t="str">
            <v>CAF1950P</v>
          </cell>
          <cell r="H3137" t="str">
            <v>Cabin Air Filter</v>
          </cell>
        </row>
        <row r="3138">
          <cell r="G3138" t="str">
            <v>LAF1940</v>
          </cell>
          <cell r="H3138" t="str">
            <v>HD Metal-End Inner Air Filter</v>
          </cell>
        </row>
        <row r="3139">
          <cell r="G3139" t="str">
            <v>LAF379</v>
          </cell>
          <cell r="H3139" t="str">
            <v>Round Inner Air Filter with Flanged Endcap</v>
          </cell>
        </row>
        <row r="3140">
          <cell r="G3140" t="str">
            <v>LAF575</v>
          </cell>
          <cell r="H3140" t="str">
            <v>HD Metal-End Air Filter</v>
          </cell>
        </row>
        <row r="3141">
          <cell r="G3141" t="str">
            <v>LFH4211</v>
          </cell>
          <cell r="H3141" t="str">
            <v>Spin-on Hydraulic Filter</v>
          </cell>
        </row>
        <row r="3142">
          <cell r="G3142" t="str">
            <v>LH4391</v>
          </cell>
          <cell r="H3142" t="str">
            <v>Cartridge Hydraulic Filter</v>
          </cell>
        </row>
        <row r="3143">
          <cell r="G3143" t="str">
            <v>LH4921</v>
          </cell>
          <cell r="H3143" t="str">
            <v>Cartridge Hydraulic Filter</v>
          </cell>
        </row>
        <row r="3144">
          <cell r="G3144" t="str">
            <v>LH4991</v>
          </cell>
          <cell r="H3144" t="str">
            <v>Cartridge Hydraulic Filter</v>
          </cell>
        </row>
        <row r="3145">
          <cell r="G3145" t="str">
            <v>AF254</v>
          </cell>
          <cell r="H3145" t="str">
            <v>Panel Air Filter</v>
          </cell>
        </row>
        <row r="3146">
          <cell r="G3146" t="str">
            <v>CAF1931C</v>
          </cell>
          <cell r="H3146" t="str">
            <v>Cabin Air Filter (Carbon)</v>
          </cell>
        </row>
        <row r="3147">
          <cell r="G3147" t="str">
            <v>CAF7708</v>
          </cell>
          <cell r="H3147" t="str">
            <v>Cabin Air Filter (Carbon)</v>
          </cell>
        </row>
        <row r="3148">
          <cell r="G3148" t="str">
            <v>G505</v>
          </cell>
          <cell r="H3148" t="str">
            <v>Fuel Filter</v>
          </cell>
        </row>
        <row r="3149">
          <cell r="G3149" t="str">
            <v>LAF1472</v>
          </cell>
          <cell r="H3149" t="str">
            <v>HD Metal-End Air Filter</v>
          </cell>
        </row>
        <row r="3150">
          <cell r="G3150" t="str">
            <v>LAF1957</v>
          </cell>
          <cell r="H3150" t="str">
            <v>Round Inner Air Filter with Flanged Endcap</v>
          </cell>
        </row>
        <row r="3151">
          <cell r="G3151" t="str">
            <v>LAF3754</v>
          </cell>
          <cell r="H3151" t="str">
            <v>Metal-End Air Filter with Closed Top End Cap</v>
          </cell>
        </row>
        <row r="3152">
          <cell r="G3152" t="str">
            <v>LAF4126</v>
          </cell>
          <cell r="H3152" t="str">
            <v>Panel Air Filter Metal Framed</v>
          </cell>
        </row>
        <row r="3153">
          <cell r="G3153" t="str">
            <v>LAF4501MXM</v>
          </cell>
          <cell r="H3153" t="str">
            <v>Nano Tech Radial Seal Air Filter</v>
          </cell>
        </row>
        <row r="3154">
          <cell r="G3154" t="str">
            <v>LAF8090</v>
          </cell>
          <cell r="H3154" t="str">
            <v>HD Metal-End Inner Air Filter</v>
          </cell>
        </row>
        <row r="3155">
          <cell r="G3155" t="str">
            <v>LAF8833</v>
          </cell>
          <cell r="H3155" t="str">
            <v>HD Metal-End Air Filter with Attached Lid</v>
          </cell>
        </row>
        <row r="3156">
          <cell r="G3156" t="str">
            <v>LAF9548</v>
          </cell>
          <cell r="H3156" t="str">
            <v>Radial Seal Inner Air Filter</v>
          </cell>
        </row>
        <row r="3157">
          <cell r="G3157" t="str">
            <v>LP5100</v>
          </cell>
          <cell r="H3157" t="str">
            <v>Cartridge Oil Filter</v>
          </cell>
        </row>
        <row r="3158">
          <cell r="G3158" t="str">
            <v>LP8232</v>
          </cell>
          <cell r="H3158" t="str">
            <v>Cartridge Hydraulic Filter</v>
          </cell>
        </row>
        <row r="3159">
          <cell r="G3159" t="str">
            <v>PC266</v>
          </cell>
          <cell r="H3159" t="str">
            <v>PCV Valve</v>
          </cell>
        </row>
        <row r="3160">
          <cell r="G3160" t="str">
            <v>AF3106</v>
          </cell>
          <cell r="H3160" t="str">
            <v>Rigid Panel Air Filter</v>
          </cell>
        </row>
        <row r="3161">
          <cell r="G3161" t="str">
            <v>CAF1891P</v>
          </cell>
          <cell r="H3161" t="str">
            <v>Cabin Air Filter</v>
          </cell>
        </row>
        <row r="3162">
          <cell r="G3162" t="str">
            <v>G2964</v>
          </cell>
          <cell r="H3162" t="str">
            <v>In-Line Fuel Filter</v>
          </cell>
        </row>
        <row r="3163">
          <cell r="G3163" t="str">
            <v>LAF1265</v>
          </cell>
          <cell r="H3163" t="str">
            <v>HD Metal-End Air Filter with Attached Lid</v>
          </cell>
        </row>
        <row r="3164">
          <cell r="G3164" t="str">
            <v>LAF225</v>
          </cell>
          <cell r="H3164" t="str">
            <v>Round Air Filter</v>
          </cell>
        </row>
        <row r="3165">
          <cell r="G3165" t="str">
            <v>LAF4169</v>
          </cell>
          <cell r="H3165" t="str">
            <v>Finned Vane Air Filter</v>
          </cell>
        </row>
        <row r="3166">
          <cell r="G3166" t="str">
            <v>LAF5889</v>
          </cell>
          <cell r="H3166" t="str">
            <v>HD Metal-End Air Filter with Attached Lid</v>
          </cell>
        </row>
        <row r="3167">
          <cell r="G3167" t="str">
            <v>LAF745</v>
          </cell>
          <cell r="H3167" t="str">
            <v>Round Inner Air Filter with Flanged Endcap</v>
          </cell>
        </row>
        <row r="3168">
          <cell r="G3168" t="str">
            <v>LAF8696</v>
          </cell>
          <cell r="H3168" t="str">
            <v>Rigid Panel Air Filter</v>
          </cell>
        </row>
        <row r="3169">
          <cell r="G3169" t="str">
            <v>LFH4432</v>
          </cell>
          <cell r="H3169" t="str">
            <v>Spin-on Hydraulic Filter</v>
          </cell>
        </row>
        <row r="3170">
          <cell r="G3170" t="str">
            <v>LFH8594</v>
          </cell>
          <cell r="H3170" t="str">
            <v>Spin-on Hydraulic Filter</v>
          </cell>
        </row>
        <row r="3171">
          <cell r="G3171" t="str">
            <v>P144</v>
          </cell>
          <cell r="H3171" t="str">
            <v>Cartridge Oil Filter</v>
          </cell>
        </row>
        <row r="3172">
          <cell r="G3172" t="str">
            <v>AF1088</v>
          </cell>
          <cell r="H3172" t="str">
            <v>Round Air Filter</v>
          </cell>
        </row>
        <row r="3173">
          <cell r="G3173" t="str">
            <v>AF316</v>
          </cell>
          <cell r="H3173" t="str">
            <v>Oval Air Filter</v>
          </cell>
        </row>
        <row r="3174">
          <cell r="G3174" t="str">
            <v>AF343</v>
          </cell>
          <cell r="H3174" t="str">
            <v>Air Filter</v>
          </cell>
        </row>
        <row r="3175">
          <cell r="G3175" t="str">
            <v>AF382</v>
          </cell>
          <cell r="H3175" t="str">
            <v>Round Air Filter</v>
          </cell>
        </row>
        <row r="3176">
          <cell r="G3176" t="str">
            <v>AF524</v>
          </cell>
          <cell r="H3176" t="str">
            <v>Flexible Panel Air Filter</v>
          </cell>
        </row>
        <row r="3177">
          <cell r="G3177" t="str">
            <v>AF537</v>
          </cell>
          <cell r="H3177" t="str">
            <v>Panel Air Filter</v>
          </cell>
        </row>
        <row r="3178">
          <cell r="G3178" t="str">
            <v>AF7806</v>
          </cell>
          <cell r="H3178" t="str">
            <v>Air Filter</v>
          </cell>
        </row>
        <row r="3179">
          <cell r="G3179" t="str">
            <v>AF7839</v>
          </cell>
          <cell r="H3179" t="str">
            <v>Rigid Panel Air Filter</v>
          </cell>
        </row>
        <row r="3180">
          <cell r="G3180" t="str">
            <v>AF7970</v>
          </cell>
          <cell r="H3180" t="str">
            <v>Flexible Panel Air Filter</v>
          </cell>
        </row>
        <row r="3181">
          <cell r="G3181" t="str">
            <v>AF85</v>
          </cell>
          <cell r="H3181" t="str">
            <v>Breather Filter</v>
          </cell>
        </row>
        <row r="3182">
          <cell r="G3182" t="str">
            <v>AF862</v>
          </cell>
          <cell r="H3182" t="str">
            <v>Special Oval Construction</v>
          </cell>
        </row>
        <row r="3183">
          <cell r="G3183" t="str">
            <v>CAF7709</v>
          </cell>
          <cell r="H3183" t="str">
            <v>Cabin Air Filter (Carbon)</v>
          </cell>
        </row>
        <row r="3184">
          <cell r="G3184" t="str">
            <v>CAF7771</v>
          </cell>
          <cell r="H3184" t="str">
            <v>Cabin Air Filter (Carbon)</v>
          </cell>
        </row>
        <row r="3185">
          <cell r="G3185" t="str">
            <v>G22077</v>
          </cell>
          <cell r="H3185" t="str">
            <v>Fuel Filter</v>
          </cell>
        </row>
        <row r="3186">
          <cell r="G3186" t="str">
            <v>G4780</v>
          </cell>
          <cell r="H3186" t="str">
            <v>Fuel Filter</v>
          </cell>
        </row>
        <row r="3187">
          <cell r="G3187" t="str">
            <v>G6304</v>
          </cell>
          <cell r="H3187" t="str">
            <v>In-Line Fuel Filter</v>
          </cell>
        </row>
        <row r="3188">
          <cell r="G3188" t="str">
            <v>G6386</v>
          </cell>
          <cell r="H3188" t="str">
            <v>In-Line Fuel Filter</v>
          </cell>
        </row>
        <row r="3189">
          <cell r="G3189" t="str">
            <v>G6567</v>
          </cell>
          <cell r="H3189" t="str">
            <v>In-Line Fuel Filter</v>
          </cell>
        </row>
        <row r="3190">
          <cell r="G3190" t="str">
            <v>G855</v>
          </cell>
          <cell r="H3190" t="str">
            <v>Cartridge Fuel Filter</v>
          </cell>
        </row>
        <row r="3191">
          <cell r="G3191" t="str">
            <v>L155F</v>
          </cell>
          <cell r="H3191" t="str">
            <v>Cartridge Fuel Filter</v>
          </cell>
        </row>
        <row r="3192">
          <cell r="G3192" t="str">
            <v>LAF1146</v>
          </cell>
          <cell r="H3192" t="str">
            <v>Metal-End Air Filter with Closed Top End Cap</v>
          </cell>
        </row>
        <row r="3193">
          <cell r="G3193" t="str">
            <v>LAF1460</v>
          </cell>
          <cell r="H3193" t="str">
            <v>HD Metal-End Air Filter</v>
          </cell>
        </row>
        <row r="3194">
          <cell r="G3194" t="str">
            <v>LAF1753</v>
          </cell>
          <cell r="H3194" t="str">
            <v>HD Metal-End Air Filter</v>
          </cell>
        </row>
        <row r="3195">
          <cell r="G3195" t="str">
            <v>LAF1762</v>
          </cell>
          <cell r="H3195" t="str">
            <v>HD Metal-End Air Filter</v>
          </cell>
        </row>
        <row r="3196">
          <cell r="G3196" t="str">
            <v>LAF1764</v>
          </cell>
          <cell r="H3196" t="str">
            <v>HD Round Air Filter with Attached Lid</v>
          </cell>
        </row>
        <row r="3197">
          <cell r="G3197" t="str">
            <v>LAF1935</v>
          </cell>
          <cell r="H3197" t="str">
            <v>HD Metal-End Air Filter</v>
          </cell>
        </row>
        <row r="3198">
          <cell r="G3198" t="str">
            <v>LAF1968</v>
          </cell>
          <cell r="H3198" t="str">
            <v>Disposible Housing Air Filter</v>
          </cell>
        </row>
        <row r="3199">
          <cell r="G3199" t="str">
            <v>LAF25</v>
          </cell>
          <cell r="H3199" t="str">
            <v>Round Air Filter</v>
          </cell>
        </row>
        <row r="3200">
          <cell r="G3200" t="str">
            <v>LAF3586</v>
          </cell>
          <cell r="H3200" t="str">
            <v>HD Metal-End Air Filter</v>
          </cell>
        </row>
        <row r="3201">
          <cell r="G3201" t="str">
            <v>LAF4121</v>
          </cell>
          <cell r="H3201" t="str">
            <v>HD Metal-End Air Filter</v>
          </cell>
        </row>
        <row r="3202">
          <cell r="G3202" t="str">
            <v>LAF4175</v>
          </cell>
          <cell r="H3202" t="str">
            <v>Finned Vane Air Filter</v>
          </cell>
        </row>
        <row r="3203">
          <cell r="G3203" t="str">
            <v>LAF4193</v>
          </cell>
          <cell r="H3203" t="str">
            <v>HD Metal-End Air Filter</v>
          </cell>
        </row>
        <row r="3204">
          <cell r="G3204" t="str">
            <v>LAF4207</v>
          </cell>
          <cell r="H3204" t="str">
            <v>Finned Vane Air Filter</v>
          </cell>
        </row>
        <row r="3205">
          <cell r="G3205" t="str">
            <v>LAF4310</v>
          </cell>
          <cell r="H3205" t="str">
            <v>HD Metal-End Air Filter with Attached Lid</v>
          </cell>
        </row>
        <row r="3206">
          <cell r="G3206" t="str">
            <v>LAF6587MXM</v>
          </cell>
          <cell r="H3206" t="str">
            <v xml:space="preserve">Nano Tech Air Filter HD Metal-End </v>
          </cell>
        </row>
        <row r="3207">
          <cell r="G3207" t="str">
            <v>LAF8338</v>
          </cell>
          <cell r="H3207" t="str">
            <v>Oval Air Filter</v>
          </cell>
        </row>
        <row r="3208">
          <cell r="G3208" t="str">
            <v>LAF8485</v>
          </cell>
          <cell r="H3208" t="str">
            <v>Panel Air Filter Metal Framed</v>
          </cell>
        </row>
        <row r="3209">
          <cell r="G3209" t="str">
            <v>LAF8584</v>
          </cell>
          <cell r="H3209" t="str">
            <v>HD Metal-End Air Filter with Attached Lid</v>
          </cell>
        </row>
        <row r="3210">
          <cell r="G3210" t="str">
            <v>LAF8585</v>
          </cell>
          <cell r="H3210" t="str">
            <v>HD Metal-End Air Filter-Inner</v>
          </cell>
        </row>
        <row r="3211">
          <cell r="G3211" t="str">
            <v>LAF8616</v>
          </cell>
          <cell r="H3211" t="str">
            <v>HD Round Air Filter with Attached Lid</v>
          </cell>
        </row>
        <row r="3212">
          <cell r="G3212" t="str">
            <v>LAF8631</v>
          </cell>
          <cell r="H3212" t="str">
            <v>HD Metal-End Air Filter with Attached Lid</v>
          </cell>
        </row>
        <row r="3213">
          <cell r="G3213" t="str">
            <v>LAF8695</v>
          </cell>
          <cell r="H3213" t="str">
            <v>HD Metal-End Air Filter</v>
          </cell>
        </row>
        <row r="3214">
          <cell r="G3214" t="str">
            <v>LAF8729</v>
          </cell>
          <cell r="H3214" t="str">
            <v>Finned Vane Air Filter</v>
          </cell>
        </row>
        <row r="3215">
          <cell r="G3215" t="str">
            <v>LAF8773</v>
          </cell>
          <cell r="H3215" t="str">
            <v>Radial Seal Outer Air Filter</v>
          </cell>
        </row>
        <row r="3216">
          <cell r="G3216" t="str">
            <v>LAF8997</v>
          </cell>
          <cell r="H3216" t="str">
            <v>HD Metal-End Air Filter</v>
          </cell>
        </row>
        <row r="3217">
          <cell r="G3217" t="str">
            <v>LFF3291</v>
          </cell>
          <cell r="H3217" t="str">
            <v>Spin-on Fuel Filter</v>
          </cell>
        </row>
        <row r="3218">
          <cell r="G3218" t="str">
            <v>LFH8456</v>
          </cell>
          <cell r="H3218" t="str">
            <v>Spin-on Hydraulic Filter</v>
          </cell>
        </row>
        <row r="3219">
          <cell r="G3219" t="str">
            <v>LFP5772</v>
          </cell>
          <cell r="H3219" t="str">
            <v>Spin-on Oil Filter</v>
          </cell>
        </row>
        <row r="3220">
          <cell r="G3220" t="str">
            <v>LH11030V</v>
          </cell>
          <cell r="H3220" t="str">
            <v>Industrial Cartridge Hydraulic Filter</v>
          </cell>
        </row>
        <row r="3221">
          <cell r="G3221" t="str">
            <v>LH4239</v>
          </cell>
          <cell r="H3221" t="str">
            <v>Cartridge Hydraulic Filter</v>
          </cell>
        </row>
        <row r="3222">
          <cell r="G3222" t="str">
            <v>LH4270</v>
          </cell>
          <cell r="H3222" t="str">
            <v>Cartridge Hydraulic Filter</v>
          </cell>
        </row>
        <row r="3223">
          <cell r="G3223" t="str">
            <v>LH95315V</v>
          </cell>
          <cell r="H3223" t="str">
            <v>Cartridge Hydraulic Filter</v>
          </cell>
        </row>
        <row r="3224">
          <cell r="G3224" t="str">
            <v>LH95361V</v>
          </cell>
          <cell r="H3224" t="str">
            <v>Cartridge Hydraulic Filter</v>
          </cell>
        </row>
        <row r="3225">
          <cell r="G3225" t="str">
            <v>LK282MB</v>
          </cell>
          <cell r="H3225" t="str">
            <v>Mercedes Benz Engine Maintenance Kit</v>
          </cell>
        </row>
        <row r="3226">
          <cell r="G3226" t="str">
            <v>LP176</v>
          </cell>
          <cell r="H3226" t="str">
            <v>Cartridge Oil Filter</v>
          </cell>
        </row>
        <row r="3227">
          <cell r="G3227" t="str">
            <v>LP5040</v>
          </cell>
          <cell r="H3227" t="str">
            <v>Cartridge Oil Filter</v>
          </cell>
        </row>
        <row r="3228">
          <cell r="G3228" t="str">
            <v>LP5041</v>
          </cell>
          <cell r="H3228" t="str">
            <v>Cartridge Oil Filter</v>
          </cell>
        </row>
        <row r="3229">
          <cell r="G3229" t="str">
            <v>LP8278</v>
          </cell>
          <cell r="H3229" t="str">
            <v>Cartridge Oil Filter</v>
          </cell>
        </row>
        <row r="3230">
          <cell r="G3230" t="str">
            <v>LP8719</v>
          </cell>
          <cell r="H3230" t="str">
            <v>Cartridge Oil Filter</v>
          </cell>
        </row>
        <row r="3231">
          <cell r="G3231" t="str">
            <v>P422</v>
          </cell>
          <cell r="H3231" t="str">
            <v>Cartridge Hydraulic Filter</v>
          </cell>
        </row>
        <row r="3232">
          <cell r="G3232" t="str">
            <v>P7000</v>
          </cell>
          <cell r="H3232" t="str">
            <v>Cartridge Oil Filter</v>
          </cell>
        </row>
        <row r="3233">
          <cell r="G3233" t="str">
            <v>P8345</v>
          </cell>
          <cell r="H3233" t="str">
            <v>Cartridge Oil Filter</v>
          </cell>
        </row>
        <row r="3234">
          <cell r="G3234" t="str">
            <v>PC286</v>
          </cell>
          <cell r="H3234" t="str">
            <v>PCV Valve</v>
          </cell>
        </row>
        <row r="3235">
          <cell r="G3235" t="str">
            <v>PH4</v>
          </cell>
          <cell r="H3235" t="str">
            <v>Spin-on Oil Filter</v>
          </cell>
        </row>
        <row r="3236">
          <cell r="G3236" t="str">
            <v>ZINC</v>
          </cell>
          <cell r="H3236" t="str">
            <v>Inlet Check Valve Assembly/500-B &amp; C, 750-B &amp; C Check valve opening pressure 6psi at .01 GPM flow</v>
          </cell>
        </row>
        <row r="3237">
          <cell r="G3237">
            <v>750</v>
          </cell>
          <cell r="H3237" t="str">
            <v>750-C Lower Housing Shell w/Retaining Ring Only</v>
          </cell>
        </row>
        <row r="3238">
          <cell r="G3238">
            <v>135</v>
          </cell>
          <cell r="H3238" t="str">
            <v>Luber-finer model 135 diesel pak, Fleetpak oil filter</v>
          </cell>
        </row>
        <row r="3239">
          <cell r="G3239" t="str">
            <v>500CT</v>
          </cell>
          <cell r="H3239" t="str">
            <v>Horizontal Diesel Unit w/Imperial Filter Pack/500-C</v>
          </cell>
        </row>
        <row r="3240">
          <cell r="G3240" t="str">
            <v>F170</v>
          </cell>
          <cell r="H3240" t="str">
            <v>Head Casting, Aluminum/F-170-W</v>
          </cell>
        </row>
        <row r="3241">
          <cell r="G3241" t="str">
            <v>FW1</v>
          </cell>
          <cell r="H3241" t="str">
            <v>Band Wrench with Handle for 4" diameter filters.</v>
          </cell>
        </row>
        <row r="3242">
          <cell r="G3242" t="str">
            <v>LAF4738</v>
          </cell>
          <cell r="H3242" t="str">
            <v>HD Metal-End Air Filter</v>
          </cell>
        </row>
        <row r="3243">
          <cell r="G3243" t="str">
            <v>PC347</v>
          </cell>
          <cell r="H3243" t="str">
            <v>PCV Valve</v>
          </cell>
        </row>
        <row r="3244">
          <cell r="G3244" t="str">
            <v>PC416</v>
          </cell>
          <cell r="H3244" t="str">
            <v>PCV Valve</v>
          </cell>
        </row>
        <row r="3245">
          <cell r="G3245" t="str">
            <v>AF404</v>
          </cell>
          <cell r="H3245" t="str">
            <v>Oval Air Filter</v>
          </cell>
        </row>
        <row r="3246">
          <cell r="G3246" t="str">
            <v>CAF7786</v>
          </cell>
          <cell r="H3246" t="str">
            <v>Cabin Air Filter (Carbon)</v>
          </cell>
        </row>
        <row r="3247">
          <cell r="G3247" t="str">
            <v>G2956</v>
          </cell>
          <cell r="H3247" t="str">
            <v>In-Line Fuel Filter</v>
          </cell>
        </row>
        <row r="3248">
          <cell r="G3248" t="str">
            <v>AF735</v>
          </cell>
          <cell r="H3248" t="str">
            <v>Round Air Filter</v>
          </cell>
        </row>
        <row r="3249">
          <cell r="G3249" t="str">
            <v>AF1606</v>
          </cell>
          <cell r="H3249" t="str">
            <v>Flexible Panel Air Filter</v>
          </cell>
        </row>
        <row r="3250">
          <cell r="G3250" t="str">
            <v>G180</v>
          </cell>
          <cell r="H3250" t="str">
            <v>In-Line Fuel Filter</v>
          </cell>
        </row>
        <row r="3251">
          <cell r="G3251" t="str">
            <v>LFF8932</v>
          </cell>
          <cell r="H3251" t="str">
            <v>Spin-on Fuel Water Separator Filter</v>
          </cell>
        </row>
        <row r="3252">
          <cell r="G3252" t="str">
            <v>LFP2251</v>
          </cell>
          <cell r="H3252" t="str">
            <v>Spin-on Oil Filter</v>
          </cell>
        </row>
        <row r="3253">
          <cell r="G3253" t="str">
            <v>PH920</v>
          </cell>
          <cell r="H3253" t="str">
            <v>Spin-on Oil Filter</v>
          </cell>
        </row>
        <row r="3254">
          <cell r="G3254" t="str">
            <v>LAF5590</v>
          </cell>
          <cell r="H3254" t="str">
            <v>Metal-End Air Filter, Primary</v>
          </cell>
        </row>
        <row r="3255">
          <cell r="G3255" t="str">
            <v>AF7990</v>
          </cell>
          <cell r="H3255" t="str">
            <v>Rigid Panel Air Filter</v>
          </cell>
        </row>
        <row r="3256">
          <cell r="G3256" t="str">
            <v>LFF8806F</v>
          </cell>
          <cell r="H3256" t="str">
            <v>Spin-on Fuel Water Separator Filter</v>
          </cell>
        </row>
        <row r="3257">
          <cell r="G3257" t="str">
            <v>LFP9930</v>
          </cell>
          <cell r="H3257" t="str">
            <v>Spin-on Oil Filter</v>
          </cell>
        </row>
        <row r="3258">
          <cell r="G3258" t="str">
            <v>PH8904</v>
          </cell>
          <cell r="H3258" t="str">
            <v>Spin-on Oil Filter</v>
          </cell>
        </row>
        <row r="3259">
          <cell r="G3259" t="str">
            <v>AF3975</v>
          </cell>
          <cell r="H3259" t="str">
            <v>Rigid Panel Air Filter</v>
          </cell>
        </row>
        <row r="3260">
          <cell r="G3260" t="str">
            <v>AF1129</v>
          </cell>
          <cell r="H3260" t="str">
            <v>Flexible Panel Air Filter</v>
          </cell>
        </row>
        <row r="3261">
          <cell r="G3261" t="str">
            <v>AF4045</v>
          </cell>
          <cell r="H3261" t="str">
            <v>Rigid Panel Air Filter</v>
          </cell>
        </row>
        <row r="3262">
          <cell r="G3262" t="str">
            <v>PC433</v>
          </cell>
          <cell r="H3262" t="str">
            <v>PCV Valve</v>
          </cell>
        </row>
        <row r="3263">
          <cell r="G3263" t="str">
            <v>AF4026</v>
          </cell>
          <cell r="H3263" t="str">
            <v>Flexible Panel Air Filter</v>
          </cell>
        </row>
        <row r="3264">
          <cell r="G3264" t="str">
            <v>AF7975</v>
          </cell>
          <cell r="H3264" t="str">
            <v>Flexible Panel Air Filter</v>
          </cell>
        </row>
        <row r="3265">
          <cell r="G3265" t="str">
            <v>AF3245</v>
          </cell>
          <cell r="H3265" t="str">
            <v>Rigid Panel Air Filter</v>
          </cell>
        </row>
        <row r="3266">
          <cell r="G3266" t="str">
            <v>AF7885</v>
          </cell>
          <cell r="H3266" t="str">
            <v>Flexible Panel Air Filter</v>
          </cell>
        </row>
        <row r="3267">
          <cell r="G3267" t="str">
            <v>LFP8235</v>
          </cell>
          <cell r="H3267" t="str">
            <v>Spin-on Oil Filter</v>
          </cell>
        </row>
        <row r="3268">
          <cell r="G3268" t="str">
            <v>LAF5572</v>
          </cell>
          <cell r="H3268" t="str">
            <v>HD Metal-End Air Filter</v>
          </cell>
        </row>
        <row r="3269">
          <cell r="G3269" t="str">
            <v>AF7893</v>
          </cell>
          <cell r="H3269" t="str">
            <v>Rigid Panel Air Filter</v>
          </cell>
        </row>
        <row r="3270">
          <cell r="G3270" t="str">
            <v>LP2254</v>
          </cell>
          <cell r="H3270" t="str">
            <v>Cartridge Oil Filter</v>
          </cell>
        </row>
        <row r="3271">
          <cell r="G3271" t="str">
            <v>AF3956</v>
          </cell>
          <cell r="H3271" t="str">
            <v>Flexible Panel Air Filter</v>
          </cell>
        </row>
        <row r="3272">
          <cell r="G3272" t="str">
            <v>4069B</v>
          </cell>
          <cell r="H3272" t="str">
            <v>Gasket Used on Fleetguard By-Pass oil canisters</v>
          </cell>
        </row>
        <row r="3273">
          <cell r="G3273" t="str">
            <v>CAF1807P</v>
          </cell>
          <cell r="H3273" t="str">
            <v>Cabin Air Filter</v>
          </cell>
        </row>
        <row r="3274">
          <cell r="G3274" t="str">
            <v>P822</v>
          </cell>
          <cell r="H3274" t="str">
            <v>Cartridge Oil Filter</v>
          </cell>
        </row>
        <row r="3275">
          <cell r="G3275" t="str">
            <v>LFF8093</v>
          </cell>
          <cell r="H3275" t="str">
            <v>Spin-on Fuel Filter</v>
          </cell>
        </row>
        <row r="3276">
          <cell r="G3276" t="str">
            <v>AF7914</v>
          </cell>
          <cell r="H3276" t="str">
            <v>Rigid Panel Air Filter</v>
          </cell>
        </row>
        <row r="3277">
          <cell r="G3277" t="str">
            <v>AF4001</v>
          </cell>
          <cell r="H3277" t="str">
            <v>Flexible Panel Air Filter</v>
          </cell>
        </row>
        <row r="3278">
          <cell r="G3278" t="str">
            <v>AF2771</v>
          </cell>
          <cell r="H3278" t="str">
            <v>Flexible Panel Air Filter</v>
          </cell>
        </row>
        <row r="3279">
          <cell r="G3279" t="str">
            <v>CAF1703</v>
          </cell>
          <cell r="H3279" t="str">
            <v>Cabin Air Filter</v>
          </cell>
        </row>
        <row r="3280">
          <cell r="G3280" t="str">
            <v>LAF5598</v>
          </cell>
          <cell r="H3280" t="str">
            <v>HD Metal-End Air Filter</v>
          </cell>
        </row>
        <row r="3281">
          <cell r="G3281" t="str">
            <v>AF7884</v>
          </cell>
          <cell r="H3281" t="str">
            <v>Panel Air Filter</v>
          </cell>
        </row>
        <row r="3282">
          <cell r="G3282" t="str">
            <v>CAF1796</v>
          </cell>
          <cell r="H3282" t="str">
            <v>Cabin Air Filter</v>
          </cell>
        </row>
        <row r="3283">
          <cell r="G3283" t="str">
            <v>LAF5951</v>
          </cell>
          <cell r="H3283" t="str">
            <v>Air Filter</v>
          </cell>
        </row>
        <row r="3284">
          <cell r="G3284" t="str">
            <v>AF7867</v>
          </cell>
          <cell r="H3284" t="str">
            <v>Rigid Panel Air Filter</v>
          </cell>
        </row>
        <row r="3285">
          <cell r="G3285" t="str">
            <v>LP5563</v>
          </cell>
          <cell r="H3285" t="str">
            <v>Cartridge Oil Filter</v>
          </cell>
        </row>
        <row r="3286">
          <cell r="G3286" t="str">
            <v>G6335</v>
          </cell>
          <cell r="H3286" t="str">
            <v>In-Line Fuel Filter</v>
          </cell>
        </row>
        <row r="3287">
          <cell r="G3287" t="str">
            <v>P843</v>
          </cell>
          <cell r="H3287" t="str">
            <v>Cartridge Oil Filter</v>
          </cell>
        </row>
        <row r="3288">
          <cell r="G3288" t="str">
            <v>LFP6240</v>
          </cell>
          <cell r="H3288" t="str">
            <v>Spin-on Oil Filter</v>
          </cell>
        </row>
        <row r="3289">
          <cell r="G3289" t="str">
            <v>AF7833</v>
          </cell>
          <cell r="H3289" t="str">
            <v>Rigid Panel Air Filter</v>
          </cell>
        </row>
        <row r="3290">
          <cell r="G3290" t="str">
            <v>LAF1803</v>
          </cell>
          <cell r="H3290" t="str">
            <v>Bag Type Air Filter</v>
          </cell>
        </row>
        <row r="3291">
          <cell r="G3291" t="str">
            <v>AF584</v>
          </cell>
          <cell r="H3291" t="str">
            <v>Round Air Filter</v>
          </cell>
        </row>
        <row r="3292">
          <cell r="G3292" t="str">
            <v>PH7016</v>
          </cell>
          <cell r="H3292" t="str">
            <v>Spin-on Oil Filter</v>
          </cell>
        </row>
        <row r="3293">
          <cell r="G3293" t="str">
            <v>G6353</v>
          </cell>
          <cell r="H3293" t="str">
            <v>In-Line Fuel Filter</v>
          </cell>
        </row>
        <row r="3294">
          <cell r="G3294" t="str">
            <v>AF142</v>
          </cell>
          <cell r="H3294" t="str">
            <v>Round Air Filter</v>
          </cell>
        </row>
        <row r="3295">
          <cell r="G3295" t="str">
            <v>AF5231</v>
          </cell>
          <cell r="H3295" t="str">
            <v>Air Filter</v>
          </cell>
        </row>
        <row r="3296">
          <cell r="G3296" t="str">
            <v>LP5565</v>
          </cell>
          <cell r="H3296" t="str">
            <v>Cartridge Fuel Filter</v>
          </cell>
        </row>
        <row r="3297">
          <cell r="G3297" t="str">
            <v>AF540</v>
          </cell>
          <cell r="H3297" t="str">
            <v>Round Air Filter</v>
          </cell>
        </row>
        <row r="3298">
          <cell r="G3298" t="str">
            <v>AF4058</v>
          </cell>
          <cell r="H3298" t="str">
            <v>Rigid Panel Air Filter</v>
          </cell>
        </row>
        <row r="3299">
          <cell r="G3299" t="str">
            <v>AF7974</v>
          </cell>
          <cell r="H3299" t="str">
            <v>Flexible Panel Air Filter</v>
          </cell>
        </row>
        <row r="3300">
          <cell r="G3300" t="str">
            <v>LFF5956</v>
          </cell>
          <cell r="H3300" t="str">
            <v>Spin-on Fuel Filter</v>
          </cell>
        </row>
        <row r="3301">
          <cell r="G3301" t="str">
            <v>L197F</v>
          </cell>
          <cell r="H3301" t="str">
            <v>Sock Type Fuel Filter</v>
          </cell>
        </row>
        <row r="3302">
          <cell r="G3302" t="str">
            <v>T135</v>
          </cell>
          <cell r="H3302" t="str">
            <v>Transmission Filter Kit</v>
          </cell>
        </row>
        <row r="3303">
          <cell r="G3303" t="str">
            <v>AF7832</v>
          </cell>
          <cell r="H3303" t="str">
            <v>Rigid Panel Air Filter</v>
          </cell>
        </row>
        <row r="3304">
          <cell r="G3304" t="str">
            <v>CAF1841C</v>
          </cell>
          <cell r="H3304" t="str">
            <v>Cabin Air Filter (Carbon)</v>
          </cell>
        </row>
        <row r="3305">
          <cell r="G3305" t="str">
            <v>AF3981</v>
          </cell>
          <cell r="H3305" t="str">
            <v>Panel Air Irregular Shaped Filter</v>
          </cell>
        </row>
        <row r="3306">
          <cell r="G3306" t="str">
            <v>LFF903</v>
          </cell>
          <cell r="H3306" t="str">
            <v>Bowl Style Fuel Water Separator Filter</v>
          </cell>
        </row>
        <row r="3307">
          <cell r="G3307" t="str">
            <v>AF9546</v>
          </cell>
          <cell r="H3307" t="str">
            <v>Panel Air Irregular Shaped Filter</v>
          </cell>
        </row>
        <row r="3308">
          <cell r="G3308" t="str">
            <v>AF7843</v>
          </cell>
          <cell r="H3308" t="str">
            <v>Rigid Panel Air Filter</v>
          </cell>
        </row>
        <row r="3309">
          <cell r="G3309" t="str">
            <v>G6324</v>
          </cell>
          <cell r="H3309" t="str">
            <v>In-Line Fuel Filter</v>
          </cell>
        </row>
        <row r="3310">
          <cell r="G3310" t="str">
            <v>AF7854</v>
          </cell>
          <cell r="H3310" t="str">
            <v>Flexible Panel Air Filter</v>
          </cell>
        </row>
        <row r="3311">
          <cell r="G3311" t="str">
            <v>LAF1838</v>
          </cell>
          <cell r="H3311" t="str">
            <v>Cone Shaped Conical Air Filter</v>
          </cell>
        </row>
        <row r="3312">
          <cell r="G3312" t="str">
            <v>P833</v>
          </cell>
          <cell r="H3312" t="str">
            <v>Cartridge Oil Filter</v>
          </cell>
        </row>
        <row r="3313">
          <cell r="G3313" t="str">
            <v>P4456</v>
          </cell>
          <cell r="H3313" t="str">
            <v>Cartridge Oil Filter</v>
          </cell>
        </row>
        <row r="3314">
          <cell r="G3314" t="str">
            <v>AF7859</v>
          </cell>
          <cell r="H3314" t="str">
            <v>Rigid Panel Air Filter</v>
          </cell>
        </row>
        <row r="3315">
          <cell r="G3315" t="str">
            <v>G2984</v>
          </cell>
          <cell r="H3315" t="str">
            <v>In-Line Fuel Filter</v>
          </cell>
        </row>
        <row r="3316">
          <cell r="G3316" t="str">
            <v>LFP2000K</v>
          </cell>
          <cell r="H3316" t="str">
            <v>Coalescer Fuel Filter and Mounting Base</v>
          </cell>
        </row>
        <row r="3317">
          <cell r="G3317" t="str">
            <v>AF8936</v>
          </cell>
          <cell r="H3317" t="str">
            <v>Rigid Panel Air Filter</v>
          </cell>
        </row>
        <row r="3318">
          <cell r="G3318" t="str">
            <v>AF1641</v>
          </cell>
          <cell r="H3318" t="str">
            <v>Cone Shaped Conical Air Filter</v>
          </cell>
        </row>
        <row r="3319">
          <cell r="G3319" t="str">
            <v>AF7940</v>
          </cell>
          <cell r="H3319" t="str">
            <v xml:space="preserve">Flexible Panel Air Filter with Attached Foam Pad </v>
          </cell>
        </row>
        <row r="3320">
          <cell r="G3320" t="str">
            <v>FC1HD</v>
          </cell>
          <cell r="H3320" t="str">
            <v>Oil Fltr Cutter for Fltrs up to 6 inches Diameter</v>
          </cell>
        </row>
        <row r="3321">
          <cell r="G3321" t="str">
            <v>AF7959</v>
          </cell>
          <cell r="H3321" t="str">
            <v>Flexible Panel Air Filter</v>
          </cell>
        </row>
        <row r="3322">
          <cell r="G3322" t="str">
            <v>CAF7758</v>
          </cell>
          <cell r="H3322" t="str">
            <v>Cabin Air Filter (Carbon)</v>
          </cell>
        </row>
        <row r="3323">
          <cell r="G3323" t="str">
            <v>P1028</v>
          </cell>
          <cell r="H3323" t="str">
            <v>Cartridge Oil Filter</v>
          </cell>
        </row>
        <row r="3324">
          <cell r="G3324" t="str">
            <v>P975</v>
          </cell>
          <cell r="H3324" t="str">
            <v>Cartridge Oil Filter</v>
          </cell>
        </row>
        <row r="3325">
          <cell r="G3325" t="str">
            <v>G2908</v>
          </cell>
          <cell r="H3325" t="str">
            <v>In-Line Fuel Filter</v>
          </cell>
        </row>
        <row r="3326">
          <cell r="G3326" t="str">
            <v>LFP8938</v>
          </cell>
          <cell r="H3326" t="str">
            <v>Spin-on Oil Filter</v>
          </cell>
        </row>
        <row r="3327">
          <cell r="G3327" t="str">
            <v>CAF1860C</v>
          </cell>
          <cell r="H3327" t="str">
            <v>Cabin Air Filter (Carbon)</v>
          </cell>
        </row>
        <row r="3328">
          <cell r="G3328" t="str">
            <v>AF3910</v>
          </cell>
          <cell r="H3328" t="str">
            <v>Flexible Panel Air Filter</v>
          </cell>
        </row>
        <row r="3329">
          <cell r="G3329" t="str">
            <v>LP2246</v>
          </cell>
          <cell r="H3329" t="str">
            <v>Cartridge Oil Filter</v>
          </cell>
        </row>
        <row r="3330">
          <cell r="G3330" t="str">
            <v>LFP8982</v>
          </cell>
          <cell r="H3330" t="str">
            <v>Spin-on Oil Filter</v>
          </cell>
        </row>
        <row r="3331">
          <cell r="G3331" t="str">
            <v>AF377</v>
          </cell>
          <cell r="H3331" t="str">
            <v>Round Air Filter</v>
          </cell>
        </row>
        <row r="3332">
          <cell r="G3332" t="str">
            <v>AF7870</v>
          </cell>
          <cell r="H3332" t="str">
            <v>Rigid Panel Air Filter</v>
          </cell>
        </row>
        <row r="3333">
          <cell r="G3333" t="str">
            <v>LP8708</v>
          </cell>
          <cell r="H3333" t="str">
            <v>Cartridge Oil Filter</v>
          </cell>
        </row>
        <row r="3334">
          <cell r="G3334" t="str">
            <v>AF3905</v>
          </cell>
          <cell r="H3334" t="str">
            <v>Flexible Panel Air Filter</v>
          </cell>
        </row>
        <row r="3335">
          <cell r="G3335" t="str">
            <v>AF358</v>
          </cell>
          <cell r="H3335" t="str">
            <v>Panel Air Filter</v>
          </cell>
        </row>
        <row r="3336">
          <cell r="G3336" t="str">
            <v>AF640</v>
          </cell>
          <cell r="H3336" t="str">
            <v>Round Air Filter</v>
          </cell>
        </row>
        <row r="3337">
          <cell r="G3337" t="str">
            <v>AF370</v>
          </cell>
          <cell r="H3337" t="str">
            <v>Round Panel Air Filter</v>
          </cell>
        </row>
        <row r="3338">
          <cell r="G3338" t="str">
            <v>AF4057</v>
          </cell>
          <cell r="H3338" t="str">
            <v>Rigid Panel Air Filter</v>
          </cell>
        </row>
        <row r="3339">
          <cell r="G3339" t="str">
            <v>AF214</v>
          </cell>
          <cell r="H3339" t="str">
            <v>Round Air Filter</v>
          </cell>
        </row>
        <row r="3340">
          <cell r="G3340" t="str">
            <v>L3525F</v>
          </cell>
          <cell r="H3340" t="str">
            <v>Cartridge Fuel Filter</v>
          </cell>
        </row>
        <row r="3341">
          <cell r="G3341" t="str">
            <v>LAF5773</v>
          </cell>
          <cell r="H3341" t="str">
            <v>Oval Air Filter</v>
          </cell>
        </row>
        <row r="3342">
          <cell r="G3342" t="str">
            <v>AF7976</v>
          </cell>
          <cell r="H3342" t="str">
            <v>Flexible Panel Air Filter</v>
          </cell>
        </row>
        <row r="3343">
          <cell r="G3343" t="str">
            <v>LP8992</v>
          </cell>
          <cell r="H3343" t="str">
            <v>Cartridge Oil Filter</v>
          </cell>
        </row>
        <row r="3344">
          <cell r="G3344" t="str">
            <v>LAF5763</v>
          </cell>
          <cell r="H3344" t="str">
            <v>Radial Seal Outer Air Filter</v>
          </cell>
        </row>
        <row r="3345">
          <cell r="G3345" t="str">
            <v>AF8916</v>
          </cell>
          <cell r="H3345" t="str">
            <v>Round Plastisol Air Filter</v>
          </cell>
        </row>
        <row r="3346">
          <cell r="G3346" t="str">
            <v>AF252</v>
          </cell>
          <cell r="H3346" t="str">
            <v>Oval Air Filter</v>
          </cell>
        </row>
        <row r="3347">
          <cell r="G3347" t="str">
            <v>L8965F</v>
          </cell>
          <cell r="H3347" t="str">
            <v>Cartridge Fuel Filter</v>
          </cell>
        </row>
        <row r="3348">
          <cell r="G3348" t="str">
            <v>PH915</v>
          </cell>
          <cell r="H3348" t="str">
            <v>Spin-on Oil Filter</v>
          </cell>
        </row>
        <row r="3349">
          <cell r="G3349" t="str">
            <v>LAF5764</v>
          </cell>
          <cell r="H3349" t="str">
            <v>Radial Seal Inner Air Filter</v>
          </cell>
        </row>
        <row r="3350">
          <cell r="G3350" t="str">
            <v>AF141</v>
          </cell>
          <cell r="H3350" t="str">
            <v>Oval Air Filter</v>
          </cell>
        </row>
        <row r="3351">
          <cell r="G3351" t="str">
            <v>LAF5569</v>
          </cell>
          <cell r="H3351" t="str">
            <v>Radial Seal Inner Air Filter</v>
          </cell>
        </row>
        <row r="3352">
          <cell r="G3352" t="str">
            <v>P138</v>
          </cell>
          <cell r="H3352" t="str">
            <v>Cartridge Oil Filter</v>
          </cell>
        </row>
        <row r="3353">
          <cell r="G3353" t="str">
            <v>PH2843</v>
          </cell>
          <cell r="H3353" t="str">
            <v>Spin-on Oil Filter</v>
          </cell>
        </row>
        <row r="3354">
          <cell r="G3354" t="str">
            <v>LAF1750</v>
          </cell>
          <cell r="H3354" t="str">
            <v>HD Metal-End Air Filter</v>
          </cell>
        </row>
        <row r="3355">
          <cell r="G3355" t="str">
            <v>P72</v>
          </cell>
          <cell r="H3355" t="str">
            <v>Cartridge Oil Filter</v>
          </cell>
        </row>
        <row r="3356">
          <cell r="G3356" t="str">
            <v>AF7875</v>
          </cell>
          <cell r="H3356" t="str">
            <v>Special Configuration Air Filter</v>
          </cell>
        </row>
        <row r="3357">
          <cell r="G3357" t="str">
            <v>AF7857</v>
          </cell>
          <cell r="H3357" t="str">
            <v>Flexible Panel Air Filter</v>
          </cell>
        </row>
        <row r="3358">
          <cell r="G3358" t="str">
            <v>P1016</v>
          </cell>
          <cell r="H3358" t="str">
            <v>Cartridge Oil Filter</v>
          </cell>
        </row>
        <row r="3359">
          <cell r="G3359" t="str">
            <v>AF7873</v>
          </cell>
          <cell r="H3359" t="str">
            <v>Flexible Panel Air Filter</v>
          </cell>
        </row>
        <row r="3360">
          <cell r="G3360" t="str">
            <v>LAF5575</v>
          </cell>
          <cell r="H3360" t="str">
            <v>HD Metal-End Air Filter</v>
          </cell>
        </row>
        <row r="3361">
          <cell r="G3361" t="str">
            <v>PC810</v>
          </cell>
          <cell r="H3361" t="str">
            <v>PCV Valve</v>
          </cell>
        </row>
        <row r="3362">
          <cell r="G3362" t="str">
            <v>CAF1939C</v>
          </cell>
          <cell r="H3362" t="str">
            <v>Cabin Air Filter (Carbon)</v>
          </cell>
        </row>
        <row r="3363">
          <cell r="G3363" t="str">
            <v>AF390</v>
          </cell>
          <cell r="H3363" t="str">
            <v>Round Air Filter</v>
          </cell>
        </row>
        <row r="3364">
          <cell r="G3364" t="str">
            <v>PC758</v>
          </cell>
          <cell r="H3364" t="str">
            <v>PCV Valve</v>
          </cell>
        </row>
        <row r="3365">
          <cell r="G3365" t="str">
            <v>L6267F</v>
          </cell>
          <cell r="H3365" t="str">
            <v>Snap-lock Fuel/Water Separator Filter</v>
          </cell>
        </row>
        <row r="3366">
          <cell r="G3366" t="str">
            <v>LAF1901</v>
          </cell>
          <cell r="H3366" t="str">
            <v>HD-Metal End Air Filter</v>
          </cell>
        </row>
        <row r="3367">
          <cell r="G3367" t="str">
            <v>AF7989</v>
          </cell>
          <cell r="H3367" t="str">
            <v>Flexible Panel Air Filter</v>
          </cell>
        </row>
        <row r="3368">
          <cell r="G3368" t="str">
            <v>AF8337</v>
          </cell>
          <cell r="H3368" t="str">
            <v>Flexible Panel Air Filter</v>
          </cell>
        </row>
        <row r="3369">
          <cell r="G3369" t="str">
            <v>AF20</v>
          </cell>
          <cell r="H3369" t="str">
            <v>Breather Filter</v>
          </cell>
        </row>
        <row r="3370">
          <cell r="G3370" t="str">
            <v>CAF1826P</v>
          </cell>
          <cell r="H3370" t="str">
            <v>Cabin Air Filter</v>
          </cell>
        </row>
        <row r="3371">
          <cell r="G3371" t="str">
            <v>G6591</v>
          </cell>
          <cell r="H3371" t="str">
            <v>In-Line Fuel Filter</v>
          </cell>
        </row>
        <row r="3372">
          <cell r="G3372" t="str">
            <v>L2603F</v>
          </cell>
          <cell r="H3372" t="str">
            <v>Cartridge Fuel Filter</v>
          </cell>
        </row>
        <row r="3373">
          <cell r="G3373" t="str">
            <v>T198</v>
          </cell>
          <cell r="H3373" t="str">
            <v>Transmission Filter Kit</v>
          </cell>
        </row>
        <row r="3374">
          <cell r="G3374" t="str">
            <v>AF3936</v>
          </cell>
          <cell r="H3374" t="str">
            <v>Flexible Panel Air Filter</v>
          </cell>
        </row>
        <row r="3375">
          <cell r="G3375" t="str">
            <v>AF5037</v>
          </cell>
          <cell r="H3375" t="str">
            <v>Oval Air Filter</v>
          </cell>
        </row>
        <row r="3376">
          <cell r="G3376" t="str">
            <v>LAF1989</v>
          </cell>
          <cell r="H3376" t="str">
            <v>Round Air Filter</v>
          </cell>
        </row>
        <row r="3377">
          <cell r="G3377" t="str">
            <v>T639</v>
          </cell>
          <cell r="H3377" t="str">
            <v>Transmission Filter Kit</v>
          </cell>
        </row>
        <row r="3378">
          <cell r="G3378" t="str">
            <v>LAF5959</v>
          </cell>
          <cell r="H3378" t="str">
            <v>Radial Seal Outer Air Filter</v>
          </cell>
        </row>
        <row r="3379">
          <cell r="G3379" t="str">
            <v>LAF5803</v>
          </cell>
          <cell r="H3379" t="str">
            <v>Round Plastisol Air Filter</v>
          </cell>
        </row>
        <row r="3380">
          <cell r="G3380" t="str">
            <v>AF3591</v>
          </cell>
          <cell r="H3380" t="str">
            <v>Flexible Panel Air Filter</v>
          </cell>
        </row>
        <row r="3381">
          <cell r="G3381" t="str">
            <v>CAF1837P</v>
          </cell>
          <cell r="H3381" t="str">
            <v>Cabin Air Filter</v>
          </cell>
        </row>
        <row r="3382">
          <cell r="G3382" t="str">
            <v>LAF1469</v>
          </cell>
          <cell r="H3382" t="str">
            <v>HD Metal-End Air Filter</v>
          </cell>
        </row>
        <row r="3383">
          <cell r="G3383" t="str">
            <v>AF3963</v>
          </cell>
          <cell r="H3383" t="str">
            <v>Rigid Panel Air Filter</v>
          </cell>
        </row>
        <row r="3384">
          <cell r="G3384" t="str">
            <v>L3441F</v>
          </cell>
          <cell r="H3384" t="str">
            <v>Snap-lock Fuel/Water Separator Filter</v>
          </cell>
        </row>
        <row r="3385">
          <cell r="G3385" t="str">
            <v>P2923</v>
          </cell>
          <cell r="H3385" t="str">
            <v>Cartridge Oil Filter</v>
          </cell>
        </row>
        <row r="3386">
          <cell r="G3386" t="str">
            <v>LFP8986</v>
          </cell>
          <cell r="H3386" t="str">
            <v>Spin-on Oil Filter</v>
          </cell>
        </row>
        <row r="3387">
          <cell r="G3387" t="str">
            <v>LP2263</v>
          </cell>
          <cell r="H3387" t="str">
            <v>Cartridge Oil Filter</v>
          </cell>
        </row>
        <row r="3388">
          <cell r="G3388" t="str">
            <v>T659</v>
          </cell>
          <cell r="H3388" t="str">
            <v>Transmission Filter Kit</v>
          </cell>
        </row>
        <row r="3389">
          <cell r="G3389" t="str">
            <v>G1059</v>
          </cell>
          <cell r="H3389" t="str">
            <v>In-Line Fuel Filter</v>
          </cell>
        </row>
        <row r="3390">
          <cell r="G3390" t="str">
            <v>G6393</v>
          </cell>
          <cell r="H3390" t="str">
            <v>In-Line Fuel Filter</v>
          </cell>
        </row>
        <row r="3391">
          <cell r="G3391" t="str">
            <v>LAF3862</v>
          </cell>
          <cell r="H3391" t="str">
            <v>Radial Seal Outer Air Filter</v>
          </cell>
        </row>
        <row r="3392">
          <cell r="G3392" t="str">
            <v>AF7831</v>
          </cell>
          <cell r="H3392" t="str">
            <v>Rigid Panel Air Filter</v>
          </cell>
        </row>
        <row r="3393">
          <cell r="G3393" t="str">
            <v>CAF1722</v>
          </cell>
          <cell r="H3393" t="str">
            <v>Cabin Air Filter</v>
          </cell>
        </row>
        <row r="3394">
          <cell r="G3394" t="str">
            <v>LAF8559</v>
          </cell>
          <cell r="H3394" t="str">
            <v>HD Metal-End Air Filter</v>
          </cell>
        </row>
        <row r="3395">
          <cell r="G3395" t="str">
            <v>LAF8920</v>
          </cell>
          <cell r="H3395" t="str">
            <v>Radial Seal Outer Air Filter</v>
          </cell>
        </row>
        <row r="3396">
          <cell r="G3396" t="str">
            <v>P76</v>
          </cell>
          <cell r="H3396" t="str">
            <v>Cartridge Oil Filter</v>
          </cell>
        </row>
        <row r="3397">
          <cell r="G3397" t="str">
            <v>LAF2612</v>
          </cell>
          <cell r="H3397" t="str">
            <v>HD Metal-End Air Filter</v>
          </cell>
        </row>
        <row r="3398">
          <cell r="G3398" t="str">
            <v>PC393</v>
          </cell>
          <cell r="H3398" t="str">
            <v>PCV Valve</v>
          </cell>
        </row>
        <row r="3399">
          <cell r="G3399" t="str">
            <v>AF4368</v>
          </cell>
          <cell r="H3399" t="str">
            <v>Oval Air Filter</v>
          </cell>
        </row>
        <row r="3400">
          <cell r="G3400" t="str">
            <v>AF7377</v>
          </cell>
          <cell r="H3400" t="str">
            <v>Panel Air Filter</v>
          </cell>
        </row>
        <row r="3401">
          <cell r="G3401" t="str">
            <v>AF7826</v>
          </cell>
          <cell r="H3401" t="str">
            <v>Rigid Panel Air Filter</v>
          </cell>
        </row>
        <row r="3402">
          <cell r="G3402" t="str">
            <v>AF3618</v>
          </cell>
          <cell r="H3402" t="str">
            <v>Air Filter</v>
          </cell>
        </row>
        <row r="3403">
          <cell r="G3403" t="str">
            <v>CAF7787</v>
          </cell>
          <cell r="H3403" t="str">
            <v>Cabin Air Filter (Carbon)</v>
          </cell>
        </row>
        <row r="3404">
          <cell r="G3404" t="str">
            <v>LAF1915</v>
          </cell>
          <cell r="H3404" t="str">
            <v>Round Plastisol Air Filter</v>
          </cell>
        </row>
        <row r="3405">
          <cell r="G3405" t="str">
            <v>LFF8040</v>
          </cell>
          <cell r="H3405" t="str">
            <v>Spin-on Fuel Water Separator Filter</v>
          </cell>
        </row>
        <row r="3406">
          <cell r="G3406" t="str">
            <v>LFP8176</v>
          </cell>
          <cell r="H3406" t="str">
            <v>Spin-on Oil Filter</v>
          </cell>
        </row>
        <row r="3407">
          <cell r="G3407" t="str">
            <v>LP2320</v>
          </cell>
          <cell r="H3407" t="str">
            <v>Cartridge Hydraulic Filter</v>
          </cell>
        </row>
        <row r="3408">
          <cell r="G3408" t="str">
            <v>AF133</v>
          </cell>
          <cell r="H3408" t="str">
            <v>Round Air Filter</v>
          </cell>
        </row>
        <row r="3409">
          <cell r="G3409" t="str">
            <v>AF542</v>
          </cell>
          <cell r="H3409" t="str">
            <v>Oval Air Filter</v>
          </cell>
        </row>
        <row r="3410">
          <cell r="G3410" t="str">
            <v>G486</v>
          </cell>
          <cell r="H3410" t="str">
            <v>In-Line Fuel Filter</v>
          </cell>
        </row>
        <row r="3411">
          <cell r="G3411" t="str">
            <v>G496</v>
          </cell>
          <cell r="H3411" t="str">
            <v>In-Line Fuel Filter</v>
          </cell>
        </row>
        <row r="3412">
          <cell r="G3412" t="str">
            <v>G6548</v>
          </cell>
          <cell r="H3412" t="str">
            <v>In-Line Fuel Filter</v>
          </cell>
        </row>
        <row r="3413">
          <cell r="G3413" t="str">
            <v>LAF1741</v>
          </cell>
          <cell r="H3413" t="str">
            <v>HD Metal-End Air Filter</v>
          </cell>
        </row>
        <row r="3414">
          <cell r="G3414" t="str">
            <v>CAF1700</v>
          </cell>
          <cell r="H3414" t="str">
            <v>Cabin Air Filter</v>
          </cell>
        </row>
        <row r="3415">
          <cell r="G3415" t="str">
            <v>AF302</v>
          </cell>
          <cell r="H3415" t="str">
            <v>Flexible Panel Air Filter</v>
          </cell>
        </row>
        <row r="3416">
          <cell r="G3416" t="str">
            <v>AF313</v>
          </cell>
          <cell r="H3416" t="str">
            <v>Oval Air Filter</v>
          </cell>
        </row>
        <row r="3417">
          <cell r="G3417" t="str">
            <v>G6346</v>
          </cell>
          <cell r="H3417" t="str">
            <v>In-Line Fuel Filter</v>
          </cell>
        </row>
        <row r="3418">
          <cell r="G3418" t="str">
            <v>LFF8963</v>
          </cell>
          <cell r="H3418" t="str">
            <v>Spin-on Fuel Filter</v>
          </cell>
        </row>
        <row r="3419">
          <cell r="G3419" t="str">
            <v>LH11021V</v>
          </cell>
          <cell r="H3419" t="str">
            <v>Industrial Cartridge Hydraulic Filter</v>
          </cell>
        </row>
        <row r="3420">
          <cell r="G3420" t="str">
            <v>AF7988</v>
          </cell>
          <cell r="H3420" t="str">
            <v>Rigid Panel Air Filter</v>
          </cell>
        </row>
        <row r="3421">
          <cell r="G3421" t="str">
            <v>AF875</v>
          </cell>
          <cell r="H3421" t="str">
            <v>Flexible Panel Air Filter</v>
          </cell>
        </row>
        <row r="3422">
          <cell r="G3422" t="str">
            <v>CAF1747</v>
          </cell>
          <cell r="H3422" t="str">
            <v>Cabin Air Filter</v>
          </cell>
        </row>
        <row r="3423">
          <cell r="G3423" t="str">
            <v>LAF3864</v>
          </cell>
          <cell r="H3423" t="str">
            <v>Radial Seal Outer Air Filter</v>
          </cell>
        </row>
        <row r="3424">
          <cell r="G3424" t="str">
            <v>AF113A</v>
          </cell>
          <cell r="H3424" t="str">
            <v>Round Air Filter</v>
          </cell>
        </row>
        <row r="3425">
          <cell r="G3425" t="str">
            <v>LAF528D</v>
          </cell>
          <cell r="H3425" t="str">
            <v>HD Rigid Panel Air Filter</v>
          </cell>
        </row>
        <row r="3426">
          <cell r="G3426" t="str">
            <v>LAF5519</v>
          </cell>
          <cell r="H3426" t="str">
            <v>Finned Vane Air Filter</v>
          </cell>
        </row>
        <row r="3427">
          <cell r="G3427" t="str">
            <v>T179</v>
          </cell>
          <cell r="H3427" t="str">
            <v>Transmission Filter Kit</v>
          </cell>
        </row>
        <row r="3428">
          <cell r="G3428" t="str">
            <v>AF3221</v>
          </cell>
          <cell r="H3428" t="str">
            <v>Flexible Panel Air Filter</v>
          </cell>
        </row>
        <row r="3429">
          <cell r="G3429" t="str">
            <v>AF5858</v>
          </cell>
          <cell r="H3429" t="str">
            <v>Flexible Panel Air Filter</v>
          </cell>
        </row>
        <row r="3430">
          <cell r="G3430" t="str">
            <v>G6872</v>
          </cell>
          <cell r="H3430" t="str">
            <v>In-Line Fuel Filter</v>
          </cell>
        </row>
        <row r="3431">
          <cell r="G3431" t="str">
            <v>AF7977</v>
          </cell>
          <cell r="H3431" t="str">
            <v>Rigid Panel Air Filter</v>
          </cell>
        </row>
        <row r="3432">
          <cell r="G3432" t="str">
            <v>CAF1780</v>
          </cell>
          <cell r="H3432" t="str">
            <v>Cabin Air Filter</v>
          </cell>
        </row>
        <row r="3433">
          <cell r="G3433" t="str">
            <v>PC270</v>
          </cell>
          <cell r="H3433" t="str">
            <v>PCV Valve</v>
          </cell>
        </row>
        <row r="3434">
          <cell r="G3434" t="str">
            <v>AF202</v>
          </cell>
          <cell r="H3434" t="str">
            <v>Round Air Filter</v>
          </cell>
        </row>
        <row r="3435">
          <cell r="G3435" t="str">
            <v>AF606</v>
          </cell>
          <cell r="H3435" t="str">
            <v>Round Air Filter</v>
          </cell>
        </row>
        <row r="3436">
          <cell r="G3436" t="str">
            <v>AF7943</v>
          </cell>
          <cell r="H3436" t="str">
            <v>Rigid Panel Air Filter</v>
          </cell>
        </row>
        <row r="3437">
          <cell r="G3437" t="str">
            <v>LAF1816</v>
          </cell>
          <cell r="H3437" t="str">
            <v>HD Metal-End Inner Air Filter</v>
          </cell>
        </row>
        <row r="3438">
          <cell r="G3438" t="str">
            <v>LP2336</v>
          </cell>
          <cell r="H3438" t="str">
            <v>Cartridge Oil Filter</v>
          </cell>
        </row>
        <row r="3439">
          <cell r="G3439" t="str">
            <v>P844</v>
          </cell>
          <cell r="H3439" t="str">
            <v>Cartridge Oil Filter</v>
          </cell>
        </row>
        <row r="3440">
          <cell r="G3440" t="str">
            <v>AF7868</v>
          </cell>
          <cell r="H3440" t="str">
            <v>Rigid Panel Air Filter</v>
          </cell>
        </row>
        <row r="3441">
          <cell r="G3441" t="str">
            <v>CAF1741</v>
          </cell>
          <cell r="H3441" t="str">
            <v>Cabin Air Filter</v>
          </cell>
        </row>
        <row r="3442">
          <cell r="G3442" t="str">
            <v>LAF8558</v>
          </cell>
          <cell r="H3442" t="str">
            <v>Round Inner Air Filter</v>
          </cell>
        </row>
        <row r="3443">
          <cell r="G3443" t="str">
            <v>LH11010V</v>
          </cell>
          <cell r="H3443" t="str">
            <v>Industrial Cartridge Hydraulic Filter</v>
          </cell>
        </row>
        <row r="3444">
          <cell r="G3444" t="str">
            <v>PC325</v>
          </cell>
          <cell r="H3444" t="str">
            <v>PCV Valve</v>
          </cell>
        </row>
        <row r="3445">
          <cell r="G3445" t="str">
            <v>AF4054</v>
          </cell>
          <cell r="H3445" t="str">
            <v>Rigid Panel Air Filter</v>
          </cell>
        </row>
        <row r="3446">
          <cell r="G3446" t="str">
            <v>CAF1728</v>
          </cell>
          <cell r="H3446" t="str">
            <v>Cabin Air Filter</v>
          </cell>
        </row>
        <row r="3447">
          <cell r="G3447" t="str">
            <v>CAF1932P</v>
          </cell>
          <cell r="H3447" t="str">
            <v>Cabin Air Filter</v>
          </cell>
        </row>
        <row r="3448">
          <cell r="G3448" t="str">
            <v>LAF250HD</v>
          </cell>
          <cell r="H3448" t="str">
            <v>HD Metal-End Air Filter</v>
          </cell>
        </row>
        <row r="3449">
          <cell r="G3449" t="str">
            <v>P2902</v>
          </cell>
          <cell r="H3449" t="str">
            <v>Cartridge Oil Filter</v>
          </cell>
        </row>
        <row r="3450">
          <cell r="G3450" t="str">
            <v>AF3907</v>
          </cell>
          <cell r="H3450" t="str">
            <v>Round Air Filter</v>
          </cell>
        </row>
        <row r="3451">
          <cell r="G3451" t="str">
            <v>AF533</v>
          </cell>
          <cell r="H3451" t="str">
            <v>Air Filter</v>
          </cell>
        </row>
        <row r="3452">
          <cell r="G3452" t="str">
            <v>AF7891</v>
          </cell>
          <cell r="H3452" t="str">
            <v>Rigid Panel Air Filter</v>
          </cell>
        </row>
        <row r="3453">
          <cell r="G3453" t="str">
            <v>AF3937</v>
          </cell>
          <cell r="H3453" t="str">
            <v>Panel Air Irregular Shaped Filter</v>
          </cell>
        </row>
        <row r="3454">
          <cell r="G3454" t="str">
            <v>AF7858</v>
          </cell>
          <cell r="H3454" t="str">
            <v>Flexible Panel Air Filter</v>
          </cell>
        </row>
        <row r="3455">
          <cell r="G3455" t="str">
            <v>AF7907</v>
          </cell>
          <cell r="H3455" t="str">
            <v>Rigid Panel Air Filter</v>
          </cell>
        </row>
        <row r="3456">
          <cell r="G3456" t="str">
            <v>CAF1901C</v>
          </cell>
          <cell r="H3456" t="str">
            <v>Cabin Air Filter (Carbon)</v>
          </cell>
        </row>
        <row r="3457">
          <cell r="G3457" t="str">
            <v>G6359</v>
          </cell>
          <cell r="H3457" t="str">
            <v>In-Line Fuel Filter</v>
          </cell>
        </row>
        <row r="3458">
          <cell r="G3458" t="str">
            <v>G6539</v>
          </cell>
          <cell r="H3458" t="str">
            <v>In-Line Fuel Filter</v>
          </cell>
        </row>
        <row r="3459">
          <cell r="G3459" t="str">
            <v>AF1064</v>
          </cell>
          <cell r="H3459" t="str">
            <v>Flexible Panel Air Filter</v>
          </cell>
        </row>
        <row r="3460">
          <cell r="G3460" t="str">
            <v>AF1612</v>
          </cell>
          <cell r="H3460" t="str">
            <v>Flexible Panel Air Filter</v>
          </cell>
        </row>
        <row r="3461">
          <cell r="G3461" t="str">
            <v>AF7905</v>
          </cell>
          <cell r="H3461" t="str">
            <v>Flexible Panel Air Filter</v>
          </cell>
        </row>
        <row r="3462">
          <cell r="G3462" t="str">
            <v>CAF1912C</v>
          </cell>
          <cell r="H3462" t="str">
            <v>Cabin Air Filter (Carbon)</v>
          </cell>
        </row>
        <row r="3463">
          <cell r="G3463" t="str">
            <v>L1133F</v>
          </cell>
          <cell r="H3463" t="str">
            <v>Cartridge Fuel Filter</v>
          </cell>
        </row>
        <row r="3464">
          <cell r="G3464" t="str">
            <v>PC326</v>
          </cell>
          <cell r="H3464" t="str">
            <v>PCV Valve</v>
          </cell>
        </row>
        <row r="3465">
          <cell r="G3465" t="str">
            <v>AF3961</v>
          </cell>
          <cell r="H3465" t="str">
            <v>Rigid Panel Air Filter</v>
          </cell>
        </row>
        <row r="3466">
          <cell r="G3466" t="str">
            <v>AF7909</v>
          </cell>
          <cell r="H3466" t="str">
            <v>Flexible Panel Air Filter</v>
          </cell>
        </row>
        <row r="3467">
          <cell r="G3467" t="str">
            <v>AF7941</v>
          </cell>
          <cell r="H3467" t="str">
            <v>Flexible Panel Air Filter</v>
          </cell>
        </row>
        <row r="3468">
          <cell r="G3468" t="str">
            <v>AF7945</v>
          </cell>
          <cell r="H3468" t="str">
            <v>Oval Air Filter</v>
          </cell>
        </row>
        <row r="3469">
          <cell r="G3469" t="str">
            <v>CAF1920P</v>
          </cell>
          <cell r="H3469" t="str">
            <v>Cabin Air Filter</v>
          </cell>
        </row>
        <row r="3470">
          <cell r="G3470" t="str">
            <v>CAF7756</v>
          </cell>
          <cell r="H3470" t="str">
            <v>Cabin Air Filter (Carbon)</v>
          </cell>
        </row>
        <row r="3471">
          <cell r="G3471" t="str">
            <v>G6590</v>
          </cell>
          <cell r="H3471" t="str">
            <v>In-Line Fuel Filter</v>
          </cell>
        </row>
        <row r="3472">
          <cell r="G3472" t="str">
            <v>LAF3863</v>
          </cell>
          <cell r="H3472" t="str">
            <v>Radial Seal Inner Air Filter</v>
          </cell>
        </row>
        <row r="3473">
          <cell r="G3473" t="str">
            <v>LAF5439</v>
          </cell>
          <cell r="H3473" t="str">
            <v>Radial Seal Inner Air Filter</v>
          </cell>
        </row>
        <row r="3474">
          <cell r="G3474" t="str">
            <v>AF118</v>
          </cell>
          <cell r="H3474" t="str">
            <v>Round Air Filter</v>
          </cell>
        </row>
        <row r="3475">
          <cell r="G3475" t="str">
            <v>AF3587</v>
          </cell>
          <cell r="H3475" t="str">
            <v>Rigid Panel Air Filter</v>
          </cell>
        </row>
        <row r="3476">
          <cell r="G3476" t="str">
            <v>AF7983</v>
          </cell>
          <cell r="H3476" t="str">
            <v>Rigid Panel Air Filter</v>
          </cell>
        </row>
        <row r="3477">
          <cell r="G3477" t="str">
            <v>CAF1803P</v>
          </cell>
          <cell r="H3477" t="str">
            <v>Cabin Air Filter</v>
          </cell>
        </row>
        <row r="3478">
          <cell r="G3478" t="str">
            <v>G6626</v>
          </cell>
          <cell r="H3478" t="str">
            <v>In-Line Fuel Filter</v>
          </cell>
        </row>
        <row r="3479">
          <cell r="G3479" t="str">
            <v>L8966F</v>
          </cell>
          <cell r="H3479" t="str">
            <v>Cartridge Fuel Filter</v>
          </cell>
        </row>
        <row r="3480">
          <cell r="G3480" t="str">
            <v>LAF3860</v>
          </cell>
          <cell r="H3480" t="str">
            <v>Radial Seal Outer Air Filter</v>
          </cell>
        </row>
        <row r="3481">
          <cell r="G3481" t="str">
            <v>LH95269V</v>
          </cell>
          <cell r="H3481" t="str">
            <v>Cartridge Hydraulic Filter</v>
          </cell>
        </row>
        <row r="3482">
          <cell r="G3482" t="str">
            <v>P841</v>
          </cell>
          <cell r="H3482" t="str">
            <v>Cartridge Oil Filter</v>
          </cell>
        </row>
        <row r="3483">
          <cell r="G3483" t="str">
            <v>P8923</v>
          </cell>
          <cell r="H3483" t="str">
            <v>Cartridge Oil Filter</v>
          </cell>
        </row>
        <row r="3484">
          <cell r="G3484" t="str">
            <v>PC442</v>
          </cell>
          <cell r="H3484" t="str">
            <v>PCV Valve</v>
          </cell>
        </row>
        <row r="3485">
          <cell r="G3485" t="str">
            <v>AF3604</v>
          </cell>
          <cell r="H3485" t="str">
            <v>Flexible Panel Air Filter</v>
          </cell>
        </row>
        <row r="3486">
          <cell r="G3486" t="str">
            <v>FP891</v>
          </cell>
          <cell r="H3486" t="str">
            <v>In-Line Fuel Filter</v>
          </cell>
        </row>
        <row r="3487">
          <cell r="G3487" t="str">
            <v>G6374</v>
          </cell>
          <cell r="H3487" t="str">
            <v>In-Line Fuel Filter</v>
          </cell>
        </row>
        <row r="3488">
          <cell r="G3488" t="str">
            <v>G6381</v>
          </cell>
          <cell r="H3488" t="str">
            <v>In-Line Fuel Filter</v>
          </cell>
        </row>
        <row r="3489">
          <cell r="G3489" t="str">
            <v>G6575</v>
          </cell>
          <cell r="H3489" t="str">
            <v>In-Line Fuel Filter</v>
          </cell>
        </row>
        <row r="3490">
          <cell r="G3490" t="str">
            <v>L9999F</v>
          </cell>
          <cell r="H3490" t="str">
            <v>Cartridge Fuel Filter</v>
          </cell>
        </row>
        <row r="3491">
          <cell r="G3491" t="str">
            <v>LAF5878</v>
          </cell>
          <cell r="H3491" t="str">
            <v>HD Round Finned Air Filter with Attached Lid</v>
          </cell>
        </row>
        <row r="3492">
          <cell r="G3492" t="str">
            <v>LAF8664</v>
          </cell>
          <cell r="H3492" t="str">
            <v>HD Metal-End Air Filter with Attached Lid</v>
          </cell>
        </row>
        <row r="3493">
          <cell r="G3493" t="str">
            <v>LH11005V</v>
          </cell>
          <cell r="H3493" t="str">
            <v>Industrial Cartridge Hydraulic Filter</v>
          </cell>
        </row>
        <row r="3494">
          <cell r="G3494" t="str">
            <v>PC196</v>
          </cell>
          <cell r="H3494" t="str">
            <v>PCV Valve</v>
          </cell>
        </row>
        <row r="3495">
          <cell r="G3495" t="str">
            <v>AF1613</v>
          </cell>
          <cell r="H3495" t="str">
            <v>Flexible Panel Air Filter</v>
          </cell>
        </row>
        <row r="3496">
          <cell r="G3496" t="str">
            <v>AF280</v>
          </cell>
          <cell r="H3496" t="str">
            <v>Flexible Panel Air Filter</v>
          </cell>
        </row>
        <row r="3497">
          <cell r="G3497" t="str">
            <v>AF317</v>
          </cell>
          <cell r="H3497" t="str">
            <v>Round Air Filter</v>
          </cell>
        </row>
        <row r="3498">
          <cell r="G3498" t="str">
            <v>AF545</v>
          </cell>
          <cell r="H3498" t="str">
            <v>Rigid Panel Air Filter</v>
          </cell>
        </row>
        <row r="3499">
          <cell r="G3499" t="str">
            <v>AF7827</v>
          </cell>
          <cell r="H3499" t="str">
            <v>Round Panel Air Filter</v>
          </cell>
        </row>
        <row r="3500">
          <cell r="G3500" t="str">
            <v>AF8140</v>
          </cell>
          <cell r="H3500" t="str">
            <v>Panel Air Filter</v>
          </cell>
        </row>
        <row r="3501">
          <cell r="G3501" t="str">
            <v>AF8273</v>
          </cell>
          <cell r="H3501" t="str">
            <v>Air Filter</v>
          </cell>
        </row>
        <row r="3502">
          <cell r="G3502" t="str">
            <v>AF8956</v>
          </cell>
          <cell r="H3502" t="str">
            <v>Flexible Panel Air Filter</v>
          </cell>
        </row>
        <row r="3503">
          <cell r="G3503" t="str">
            <v>CAF7703</v>
          </cell>
          <cell r="H3503" t="str">
            <v>Cabin Air Filter (Carbon)</v>
          </cell>
        </row>
        <row r="3504">
          <cell r="G3504" t="str">
            <v>CAF7719</v>
          </cell>
          <cell r="H3504" t="str">
            <v>Cabin Air Filter (Carbon)</v>
          </cell>
        </row>
        <row r="3505">
          <cell r="G3505" t="str">
            <v>G6541</v>
          </cell>
          <cell r="H3505" t="str">
            <v>In-Line Fuel Filter</v>
          </cell>
        </row>
        <row r="3506">
          <cell r="G3506" t="str">
            <v>L3564F</v>
          </cell>
          <cell r="H3506" t="str">
            <v>Cartridge Fuel Filter</v>
          </cell>
        </row>
        <row r="3507">
          <cell r="G3507" t="str">
            <v>LAF5589</v>
          </cell>
          <cell r="H3507" t="str">
            <v>HD Metal-End Air Filter</v>
          </cell>
        </row>
        <row r="3508">
          <cell r="G3508" t="str">
            <v>LFE9374</v>
          </cell>
          <cell r="H3508" t="str">
            <v>Spin-on Oil Filter</v>
          </cell>
        </row>
        <row r="3509">
          <cell r="G3509" t="str">
            <v>LFF6013</v>
          </cell>
          <cell r="H3509" t="str">
            <v>Fuel Filter Kit Primary/Secondary</v>
          </cell>
        </row>
        <row r="3510">
          <cell r="G3510" t="str">
            <v>LFF8349</v>
          </cell>
          <cell r="H3510" t="str">
            <v>Spin-on Fuel Water Separator Filter</v>
          </cell>
        </row>
        <row r="3511">
          <cell r="G3511" t="str">
            <v>LFP8704</v>
          </cell>
          <cell r="H3511" t="str">
            <v>Spin-on Oil Filter</v>
          </cell>
        </row>
        <row r="3512">
          <cell r="G3512" t="str">
            <v>LH11001</v>
          </cell>
          <cell r="H3512" t="str">
            <v>Industrial Cartridge Hydraulic Filter</v>
          </cell>
        </row>
        <row r="3513">
          <cell r="G3513" t="str">
            <v>LH11017V</v>
          </cell>
          <cell r="H3513" t="str">
            <v>Industrial Cartridge Hydraulic Filter</v>
          </cell>
        </row>
        <row r="3514">
          <cell r="G3514" t="str">
            <v>LH11023V</v>
          </cell>
          <cell r="H3514" t="str">
            <v>Industrial Cartridge Hydraulic Filter</v>
          </cell>
        </row>
        <row r="3515">
          <cell r="G3515" t="str">
            <v>LH11041V</v>
          </cell>
          <cell r="H3515" t="str">
            <v>Industrial Cartridge Hydraulic Filter</v>
          </cell>
        </row>
        <row r="3516">
          <cell r="G3516" t="str">
            <v>LH3042V</v>
          </cell>
          <cell r="H3516" t="str">
            <v>Cartridge Hydraulic Filter</v>
          </cell>
        </row>
        <row r="3517">
          <cell r="G3517" t="str">
            <v>LH8790</v>
          </cell>
          <cell r="H3517" t="str">
            <v>Cartridge Hydraulic Filter</v>
          </cell>
        </row>
        <row r="3518">
          <cell r="G3518" t="str">
            <v>LH9240V</v>
          </cell>
          <cell r="H3518" t="str">
            <v>Cartridge Hydraulic Filter</v>
          </cell>
        </row>
        <row r="3519">
          <cell r="G3519" t="str">
            <v>LP165</v>
          </cell>
          <cell r="H3519" t="str">
            <v>Cartridge Oil Filter</v>
          </cell>
        </row>
        <row r="3520">
          <cell r="G3520" t="str">
            <v>LP2226</v>
          </cell>
          <cell r="H3520" t="str">
            <v>Cartridge Oil Filter</v>
          </cell>
        </row>
        <row r="3521">
          <cell r="G3521" t="str">
            <v>LP2318</v>
          </cell>
          <cell r="H3521" t="str">
            <v>Cartridge Hydraulic Filter</v>
          </cell>
        </row>
        <row r="3522">
          <cell r="G3522" t="str">
            <v>LP8718</v>
          </cell>
          <cell r="H3522" t="str">
            <v>Cartridge Oil Filter</v>
          </cell>
        </row>
        <row r="3523">
          <cell r="G3523" t="str">
            <v>P1023</v>
          </cell>
          <cell r="H3523" t="str">
            <v>Cartridge Oil Filter</v>
          </cell>
        </row>
        <row r="3524">
          <cell r="G3524" t="str">
            <v>P1035</v>
          </cell>
          <cell r="H3524" t="str">
            <v>Cartridge Oil Filter</v>
          </cell>
        </row>
        <row r="3525">
          <cell r="G3525" t="str">
            <v>P7005</v>
          </cell>
          <cell r="H3525" t="str">
            <v>Cartridge Oil Filter</v>
          </cell>
        </row>
        <row r="3526">
          <cell r="G3526" t="str">
            <v>PC333</v>
          </cell>
          <cell r="H3526" t="str">
            <v>PCV Valve</v>
          </cell>
        </row>
        <row r="3527">
          <cell r="G3527" t="str">
            <v>PC436</v>
          </cell>
          <cell r="H3527" t="str">
            <v>PCV Valve</v>
          </cell>
        </row>
        <row r="3528">
          <cell r="G3528" t="str">
            <v>AF5269</v>
          </cell>
          <cell r="H3528" t="str">
            <v>Air Filter</v>
          </cell>
        </row>
        <row r="3529">
          <cell r="G3529" t="str">
            <v>AF893</v>
          </cell>
          <cell r="H3529" t="str">
            <v>Round Air Filter</v>
          </cell>
        </row>
        <row r="3530">
          <cell r="G3530" t="str">
            <v>CAF1922C</v>
          </cell>
          <cell r="H3530" t="str">
            <v>Cabin Air Filter (Carbon)</v>
          </cell>
        </row>
        <row r="3531">
          <cell r="G3531" t="str">
            <v>CAF1938P</v>
          </cell>
          <cell r="H3531" t="str">
            <v>Cabin Air Filter</v>
          </cell>
        </row>
        <row r="3532">
          <cell r="G3532" t="str">
            <v>G2973</v>
          </cell>
          <cell r="H3532" t="str">
            <v>In-Line Fuel Filter</v>
          </cell>
        </row>
        <row r="3533">
          <cell r="G3533" t="str">
            <v>G572</v>
          </cell>
          <cell r="H3533" t="str">
            <v>In-Line Fuel Filter</v>
          </cell>
        </row>
        <row r="3534">
          <cell r="G3534" t="str">
            <v>G6368</v>
          </cell>
          <cell r="H3534" t="str">
            <v>In-Line Fuel Filter</v>
          </cell>
        </row>
        <row r="3535">
          <cell r="G3535" t="str">
            <v>LAF3232</v>
          </cell>
          <cell r="H3535" t="str">
            <v>Finned Vane Air Filter</v>
          </cell>
        </row>
        <row r="3536">
          <cell r="G3536" t="str">
            <v>LAF8566</v>
          </cell>
          <cell r="H3536" t="str">
            <v>HD Round Air Filter with Attached Lid</v>
          </cell>
        </row>
        <row r="3537">
          <cell r="G3537" t="str">
            <v>LFF3536</v>
          </cell>
          <cell r="H3537" t="str">
            <v>Spin-on Fuel Filter</v>
          </cell>
        </row>
        <row r="3538">
          <cell r="G3538" t="str">
            <v>LH4998</v>
          </cell>
          <cell r="H3538" t="str">
            <v>Cartridge Hydraulic Filter</v>
          </cell>
        </row>
        <row r="3539">
          <cell r="G3539" t="str">
            <v>PC263</v>
          </cell>
          <cell r="H3539" t="str">
            <v>PCV Valve</v>
          </cell>
        </row>
        <row r="3540">
          <cell r="G3540" t="str">
            <v>PC268</v>
          </cell>
          <cell r="H3540" t="str">
            <v>PCV Valve</v>
          </cell>
        </row>
        <row r="3541">
          <cell r="G3541" t="str">
            <v>AF3603</v>
          </cell>
          <cell r="H3541" t="str">
            <v>Flexible Panel Air Filter</v>
          </cell>
        </row>
        <row r="3542">
          <cell r="G3542" t="str">
            <v>AF371</v>
          </cell>
          <cell r="H3542" t="str">
            <v>Round Panel Air Filter</v>
          </cell>
        </row>
        <row r="3543">
          <cell r="G3543" t="str">
            <v>AF531</v>
          </cell>
          <cell r="H3543" t="str">
            <v>Oval Air Filter</v>
          </cell>
        </row>
        <row r="3544">
          <cell r="G3544" t="str">
            <v>AF7944</v>
          </cell>
          <cell r="H3544" t="str">
            <v>Flexible Panel Air Filter</v>
          </cell>
        </row>
        <row r="3545">
          <cell r="G3545" t="str">
            <v>AF7986</v>
          </cell>
          <cell r="H3545" t="str">
            <v>Flexible Panel Air Filter</v>
          </cell>
        </row>
        <row r="3546">
          <cell r="G3546" t="str">
            <v>AF8947</v>
          </cell>
          <cell r="H3546" t="str">
            <v>Flexible Panel Air Filter</v>
          </cell>
        </row>
        <row r="3547">
          <cell r="G3547" t="str">
            <v>G2917</v>
          </cell>
          <cell r="H3547" t="str">
            <v>In-Line Fuel Filter</v>
          </cell>
        </row>
        <row r="3548">
          <cell r="G3548" t="str">
            <v>G6387</v>
          </cell>
          <cell r="H3548" t="str">
            <v>In-Line Fuel Filter</v>
          </cell>
        </row>
        <row r="3549">
          <cell r="G3549" t="str">
            <v>LAF8989</v>
          </cell>
          <cell r="H3549" t="str">
            <v>HD Round Air Filter with Attached Boot</v>
          </cell>
        </row>
        <row r="3550">
          <cell r="G3550" t="str">
            <v>LFP8320</v>
          </cell>
          <cell r="H3550" t="str">
            <v>Spin-on Oil Filter</v>
          </cell>
        </row>
        <row r="3551">
          <cell r="G3551" t="str">
            <v>P7009</v>
          </cell>
          <cell r="H3551" t="str">
            <v>Cartridge Oil Filter</v>
          </cell>
        </row>
        <row r="3552">
          <cell r="G3552" t="str">
            <v>PC105</v>
          </cell>
          <cell r="H3552" t="str">
            <v>PCV Valve</v>
          </cell>
        </row>
        <row r="3553">
          <cell r="G3553" t="str">
            <v>AF297</v>
          </cell>
          <cell r="H3553" t="str">
            <v>Flexible Panel Air Filter</v>
          </cell>
        </row>
        <row r="3554">
          <cell r="G3554" t="str">
            <v>AF380</v>
          </cell>
          <cell r="H3554" t="str">
            <v>Panel Air Filter</v>
          </cell>
        </row>
        <row r="3555">
          <cell r="G3555" t="str">
            <v>AF7835</v>
          </cell>
          <cell r="H3555" t="str">
            <v>Rigid Panel Air Filter</v>
          </cell>
        </row>
        <row r="3556">
          <cell r="G3556" t="str">
            <v>AFB7847</v>
          </cell>
          <cell r="H3556" t="str">
            <v>Foam Pad</v>
          </cell>
        </row>
        <row r="3557">
          <cell r="G3557" t="str">
            <v>CAF1785</v>
          </cell>
          <cell r="H3557" t="str">
            <v>Cabin Air Filter</v>
          </cell>
        </row>
        <row r="3558">
          <cell r="G3558" t="str">
            <v>CAF7712</v>
          </cell>
          <cell r="H3558" t="str">
            <v>Cabin Air Filter (Carbon)</v>
          </cell>
        </row>
        <row r="3559">
          <cell r="G3559" t="str">
            <v>CAF7718</v>
          </cell>
          <cell r="H3559" t="str">
            <v>Cabin Air Filter</v>
          </cell>
        </row>
        <row r="3560">
          <cell r="G3560" t="str">
            <v>G499</v>
          </cell>
          <cell r="H3560" t="str">
            <v>In-Line Fuel Filter</v>
          </cell>
        </row>
        <row r="3561">
          <cell r="G3561" t="str">
            <v>G848</v>
          </cell>
          <cell r="H3561" t="str">
            <v>In-Line Fuel Filter</v>
          </cell>
        </row>
        <row r="3562">
          <cell r="G3562" t="str">
            <v>LH4930</v>
          </cell>
          <cell r="H3562" t="str">
            <v>Cartridge Hydraulic Filter</v>
          </cell>
        </row>
        <row r="3563">
          <cell r="G3563" t="str">
            <v>LP2309</v>
          </cell>
          <cell r="H3563" t="str">
            <v>Cartridge Oil Filter</v>
          </cell>
        </row>
        <row r="3564">
          <cell r="G3564" t="str">
            <v>AF126</v>
          </cell>
          <cell r="H3564" t="str">
            <v>Round Air Filter</v>
          </cell>
        </row>
        <row r="3565">
          <cell r="G3565" t="str">
            <v>AF2807</v>
          </cell>
          <cell r="H3565" t="str">
            <v>Panel Air Irregular Shaped Filter</v>
          </cell>
        </row>
        <row r="3566">
          <cell r="G3566" t="str">
            <v>AF3928</v>
          </cell>
          <cell r="H3566" t="str">
            <v>Flexible Panel Air Filter</v>
          </cell>
        </row>
        <row r="3567">
          <cell r="G3567" t="str">
            <v>CAF1871C</v>
          </cell>
          <cell r="H3567" t="str">
            <v>Cabin Air Filter (Carbon)</v>
          </cell>
        </row>
        <row r="3568">
          <cell r="G3568" t="str">
            <v>CAF7707</v>
          </cell>
          <cell r="H3568" t="str">
            <v>Cabin Air Filter (Carbon)</v>
          </cell>
        </row>
        <row r="3569">
          <cell r="G3569" t="str">
            <v>G474</v>
          </cell>
          <cell r="H3569" t="str">
            <v>In-Line Fuel Filter</v>
          </cell>
        </row>
        <row r="3570">
          <cell r="G3570" t="str">
            <v>G6341</v>
          </cell>
          <cell r="H3570" t="str">
            <v>In-Line Fuel Filter</v>
          </cell>
        </row>
        <row r="3571">
          <cell r="G3571" t="str">
            <v>LAF1722</v>
          </cell>
          <cell r="H3571" t="str">
            <v>Finned Vane Air Filter</v>
          </cell>
        </row>
        <row r="3572">
          <cell r="G3572" t="str">
            <v>LAF1842</v>
          </cell>
          <cell r="H3572" t="str">
            <v>Finned Vane Air Filter</v>
          </cell>
        </row>
        <row r="3573">
          <cell r="G3573" t="str">
            <v>LAF511</v>
          </cell>
          <cell r="H3573" t="str">
            <v>Finned Vane Air Filter</v>
          </cell>
        </row>
        <row r="3574">
          <cell r="G3574" t="str">
            <v>LH8461</v>
          </cell>
          <cell r="H3574" t="str">
            <v>Cartridge Hydraulic Filter</v>
          </cell>
        </row>
        <row r="3575">
          <cell r="G3575" t="str">
            <v>P1019</v>
          </cell>
          <cell r="H3575" t="str">
            <v>Cartridge Oil Filter</v>
          </cell>
        </row>
        <row r="3576">
          <cell r="G3576" t="str">
            <v>PC121</v>
          </cell>
          <cell r="H3576" t="str">
            <v>PCV Valve</v>
          </cell>
        </row>
        <row r="3577">
          <cell r="G3577" t="str">
            <v>PC349</v>
          </cell>
          <cell r="H3577" t="str">
            <v>PCV Valve</v>
          </cell>
        </row>
        <row r="3578">
          <cell r="G3578" t="str">
            <v>AF5258</v>
          </cell>
          <cell r="H3578" t="str">
            <v>Air Filter</v>
          </cell>
        </row>
        <row r="3579">
          <cell r="G3579" t="str">
            <v>CAF1940P</v>
          </cell>
          <cell r="H3579" t="str">
            <v>Cabin Air Filter</v>
          </cell>
        </row>
        <row r="3580">
          <cell r="G3580" t="str">
            <v>G15</v>
          </cell>
          <cell r="H3580" t="str">
            <v>In-Line Fuel Filter</v>
          </cell>
        </row>
        <row r="3581">
          <cell r="G3581" t="str">
            <v>G6373</v>
          </cell>
          <cell r="H3581" t="str">
            <v>In-Line Fuel Filter</v>
          </cell>
        </row>
        <row r="3582">
          <cell r="G3582" t="str">
            <v>G6549</v>
          </cell>
          <cell r="H3582" t="str">
            <v>In-Line Fuel Filter</v>
          </cell>
        </row>
        <row r="3583">
          <cell r="G3583" t="str">
            <v>LAF1004</v>
          </cell>
          <cell r="H3583" t="str">
            <v>Round Air Filter</v>
          </cell>
        </row>
        <row r="3584">
          <cell r="G3584" t="str">
            <v>LAF1791</v>
          </cell>
          <cell r="H3584" t="str">
            <v>Finned Vane Air Filter</v>
          </cell>
        </row>
        <row r="3585">
          <cell r="G3585" t="str">
            <v>LAF5981</v>
          </cell>
          <cell r="H3585" t="str">
            <v>HD Metal-End Air Filter</v>
          </cell>
        </row>
        <row r="3586">
          <cell r="G3586" t="str">
            <v>LAF8578</v>
          </cell>
          <cell r="H3586" t="str">
            <v>Round Air Filter</v>
          </cell>
        </row>
        <row r="3587">
          <cell r="G3587" t="str">
            <v>LAF8669MXM</v>
          </cell>
          <cell r="H3587" t="str">
            <v>Nano Tech Radial Seal Air Filter</v>
          </cell>
        </row>
        <row r="3588">
          <cell r="G3588" t="str">
            <v>LFP8295</v>
          </cell>
          <cell r="H3588" t="str">
            <v>Spin-on Oil Filter</v>
          </cell>
        </row>
        <row r="3589">
          <cell r="G3589" t="str">
            <v>LH4979</v>
          </cell>
          <cell r="H3589" t="str">
            <v>Cartridge Hydraulic Filter</v>
          </cell>
        </row>
        <row r="3590">
          <cell r="G3590" t="str">
            <v>LP613</v>
          </cell>
          <cell r="H3590" t="str">
            <v>Cartridge Oil Filter</v>
          </cell>
        </row>
        <row r="3591">
          <cell r="G3591" t="str">
            <v>PC172</v>
          </cell>
          <cell r="H3591" t="str">
            <v>PCV Valve</v>
          </cell>
        </row>
        <row r="3592">
          <cell r="G3592" t="str">
            <v>AF139</v>
          </cell>
          <cell r="H3592" t="str">
            <v>Oval Air Filter</v>
          </cell>
        </row>
        <row r="3593">
          <cell r="G3593" t="str">
            <v>AF241</v>
          </cell>
          <cell r="H3593" t="str">
            <v>Flexible Panel Air Filter</v>
          </cell>
        </row>
        <row r="3594">
          <cell r="G3594" t="str">
            <v>AF298</v>
          </cell>
          <cell r="H3594" t="str">
            <v>Flexible Panel Air Filter</v>
          </cell>
        </row>
        <row r="3595">
          <cell r="G3595" t="str">
            <v>AF363</v>
          </cell>
          <cell r="H3595" t="str">
            <v>Rigid Panel Air Filter</v>
          </cell>
        </row>
        <row r="3596">
          <cell r="G3596" t="str">
            <v>AF385</v>
          </cell>
          <cell r="H3596" t="str">
            <v>Flexible Media Air Filter</v>
          </cell>
        </row>
        <row r="3597">
          <cell r="G3597" t="str">
            <v>AF386</v>
          </cell>
          <cell r="H3597" t="str">
            <v>Flexible Panel Air Filter</v>
          </cell>
        </row>
        <row r="3598">
          <cell r="G3598" t="str">
            <v>AF5242</v>
          </cell>
          <cell r="H3598" t="str">
            <v>Air Filter</v>
          </cell>
        </row>
        <row r="3599">
          <cell r="G3599" t="str">
            <v>AF5245</v>
          </cell>
          <cell r="H3599" t="str">
            <v>Air Filter</v>
          </cell>
        </row>
        <row r="3600">
          <cell r="G3600" t="str">
            <v>AF5266</v>
          </cell>
          <cell r="H3600" t="str">
            <v>Air Filter</v>
          </cell>
        </row>
        <row r="3601">
          <cell r="G3601" t="str">
            <v>AF5696</v>
          </cell>
          <cell r="H3601" t="str">
            <v>Air Filter</v>
          </cell>
        </row>
        <row r="3602">
          <cell r="G3602" t="str">
            <v>AF634</v>
          </cell>
          <cell r="H3602" t="str">
            <v>Round Air Filter</v>
          </cell>
        </row>
        <row r="3603">
          <cell r="G3603" t="str">
            <v>AF7887</v>
          </cell>
          <cell r="H3603" t="str">
            <v>Flexible Panel Air Filter</v>
          </cell>
        </row>
        <row r="3604">
          <cell r="G3604" t="str">
            <v>AF9217</v>
          </cell>
          <cell r="H3604" t="str">
            <v>Air Filter</v>
          </cell>
        </row>
        <row r="3605">
          <cell r="G3605" t="str">
            <v>CAF1717</v>
          </cell>
          <cell r="H3605" t="str">
            <v>Cabin Air Filter</v>
          </cell>
        </row>
        <row r="3606">
          <cell r="G3606" t="str">
            <v>CAF1936P</v>
          </cell>
          <cell r="H3606" t="str">
            <v>Cabin Air Filter</v>
          </cell>
        </row>
        <row r="3607">
          <cell r="G3607" t="str">
            <v>CAF7722</v>
          </cell>
          <cell r="H3607" t="str">
            <v>Cabin Air Filter (Carbon)</v>
          </cell>
        </row>
        <row r="3608">
          <cell r="G3608" t="str">
            <v>CAF7734</v>
          </cell>
          <cell r="H3608" t="str">
            <v>Cabin Air Filter (Carbon)</v>
          </cell>
        </row>
        <row r="3609">
          <cell r="G3609" t="str">
            <v>CAF7788</v>
          </cell>
          <cell r="H3609" t="str">
            <v>Cabin Air Filter (Carbon)</v>
          </cell>
        </row>
        <row r="3610">
          <cell r="G3610" t="str">
            <v>G2969</v>
          </cell>
          <cell r="H3610" t="str">
            <v>In-Line Fuel Filter</v>
          </cell>
        </row>
        <row r="3611">
          <cell r="G3611" t="str">
            <v>G504</v>
          </cell>
          <cell r="H3611" t="str">
            <v>In-Line Fuel Filter</v>
          </cell>
        </row>
        <row r="3612">
          <cell r="G3612" t="str">
            <v>G6538</v>
          </cell>
          <cell r="H3612" t="str">
            <v>In-Line Fuel Filter</v>
          </cell>
        </row>
        <row r="3613">
          <cell r="G3613" t="str">
            <v>G803</v>
          </cell>
          <cell r="H3613" t="str">
            <v>In-Line Fuel Filter</v>
          </cell>
        </row>
        <row r="3614">
          <cell r="G3614" t="str">
            <v>L3919F</v>
          </cell>
          <cell r="H3614" t="str">
            <v>Snap-Lock Fuel Filter</v>
          </cell>
        </row>
        <row r="3615">
          <cell r="G3615" t="str">
            <v>L7583F</v>
          </cell>
          <cell r="H3615" t="str">
            <v>Cartridge Fuel Filter</v>
          </cell>
        </row>
        <row r="3616">
          <cell r="G3616" t="str">
            <v>LAF1774</v>
          </cell>
          <cell r="H3616" t="str">
            <v>HD Metal-End Air Filter</v>
          </cell>
        </row>
        <row r="3617">
          <cell r="G3617" t="str">
            <v>LAF1872</v>
          </cell>
          <cell r="H3617" t="str">
            <v>Panel Air Filter Metal Framed</v>
          </cell>
        </row>
        <row r="3618">
          <cell r="G3618" t="str">
            <v>LAF3706</v>
          </cell>
          <cell r="H3618" t="str">
            <v>HD Metal-End Air Filter</v>
          </cell>
        </row>
        <row r="3619">
          <cell r="G3619" t="str">
            <v>LAF4342</v>
          </cell>
          <cell r="H3619" t="str">
            <v>Pre-cleaner Air Filter</v>
          </cell>
        </row>
        <row r="3620">
          <cell r="G3620" t="str">
            <v>LAF8078</v>
          </cell>
          <cell r="H3620" t="str">
            <v>HD Metal-End Air Filter</v>
          </cell>
        </row>
        <row r="3621">
          <cell r="G3621" t="str">
            <v>LAF9513</v>
          </cell>
          <cell r="H3621" t="str">
            <v>HD Metal-End Air Filter</v>
          </cell>
        </row>
        <row r="3622">
          <cell r="G3622" t="str">
            <v>LFF8103</v>
          </cell>
          <cell r="H3622" t="str">
            <v>Spin-on Fuel Filter</v>
          </cell>
        </row>
        <row r="3623">
          <cell r="G3623" t="str">
            <v>LFH4404</v>
          </cell>
          <cell r="H3623" t="str">
            <v>Spin-on Hydraulic Filter</v>
          </cell>
        </row>
        <row r="3624">
          <cell r="G3624" t="str">
            <v>LFP2100K</v>
          </cell>
          <cell r="H3624" t="str">
            <v>Coalescer Fuel Filter and Mounting Base</v>
          </cell>
        </row>
        <row r="3625">
          <cell r="G3625" t="str">
            <v>LH5741</v>
          </cell>
          <cell r="H3625" t="str">
            <v>Cartridge Hydraulic Filter</v>
          </cell>
        </row>
        <row r="3626">
          <cell r="G3626" t="str">
            <v>P913</v>
          </cell>
          <cell r="H3626" t="str">
            <v>Cartridge Oil Filter</v>
          </cell>
        </row>
        <row r="3627">
          <cell r="G3627" t="str">
            <v>PC256</v>
          </cell>
          <cell r="H3627" t="str">
            <v>PCV Valve</v>
          </cell>
        </row>
        <row r="3628">
          <cell r="G3628" t="str">
            <v>PC76</v>
          </cell>
          <cell r="H3628" t="str">
            <v>PCV Valve</v>
          </cell>
        </row>
        <row r="3629">
          <cell r="G3629" t="str">
            <v>AF247</v>
          </cell>
          <cell r="H3629" t="str">
            <v>Flexible Media Air Filter</v>
          </cell>
        </row>
        <row r="3630">
          <cell r="G3630" t="str">
            <v>AF248</v>
          </cell>
          <cell r="H3630" t="str">
            <v>Flexible Media Air Filter</v>
          </cell>
        </row>
        <row r="3631">
          <cell r="G3631" t="str">
            <v>AF3099</v>
          </cell>
          <cell r="H3631" t="str">
            <v>Air Filter</v>
          </cell>
        </row>
        <row r="3632">
          <cell r="G3632" t="str">
            <v>AF611</v>
          </cell>
          <cell r="H3632" t="str">
            <v>Special Oval Construction</v>
          </cell>
        </row>
        <row r="3633">
          <cell r="G3633" t="str">
            <v>AF8248</v>
          </cell>
          <cell r="H3633" t="str">
            <v>Flexible Panel Air Filter</v>
          </cell>
        </row>
        <row r="3634">
          <cell r="G3634" t="str">
            <v>AF8343</v>
          </cell>
          <cell r="H3634" t="str">
            <v>Round Air Filter</v>
          </cell>
        </row>
        <row r="3635">
          <cell r="G3635" t="str">
            <v>CAF1710</v>
          </cell>
          <cell r="H3635" t="str">
            <v>Cabin Air Filter</v>
          </cell>
        </row>
        <row r="3636">
          <cell r="G3636" t="str">
            <v>CAF1715</v>
          </cell>
          <cell r="H3636" t="str">
            <v>Cabin Air Filter</v>
          </cell>
        </row>
        <row r="3637">
          <cell r="G3637" t="str">
            <v>CAF1802C</v>
          </cell>
          <cell r="H3637" t="str">
            <v>Cabin Air Filter (Carbon)</v>
          </cell>
        </row>
        <row r="3638">
          <cell r="G3638" t="str">
            <v>CAF1924P</v>
          </cell>
          <cell r="H3638" t="str">
            <v>Cabin Air Filter</v>
          </cell>
        </row>
        <row r="3639">
          <cell r="G3639" t="str">
            <v>CAF7723</v>
          </cell>
          <cell r="H3639" t="str">
            <v>Cabin Air Filter (Carbon)</v>
          </cell>
        </row>
        <row r="3640">
          <cell r="G3640" t="str">
            <v>CAF7743</v>
          </cell>
          <cell r="H3640" t="str">
            <v>Cabin Air Filter (Carbon)</v>
          </cell>
        </row>
        <row r="3641">
          <cell r="G3641" t="str">
            <v>CAF7790</v>
          </cell>
          <cell r="H3641" t="str">
            <v>Cabin Air Filter (Carbon)</v>
          </cell>
        </row>
        <row r="3642">
          <cell r="G3642" t="str">
            <v>LAF1946</v>
          </cell>
          <cell r="H3642" t="str">
            <v>Round Air Filter with Flanged Endcap</v>
          </cell>
        </row>
        <row r="3643">
          <cell r="G3643" t="str">
            <v>LAF2516</v>
          </cell>
          <cell r="H3643" t="str">
            <v>HD Metal-End Air Filter</v>
          </cell>
        </row>
        <row r="3644">
          <cell r="G3644" t="str">
            <v>LAF282</v>
          </cell>
          <cell r="H3644" t="str">
            <v>HD Metal-End Air Filter with Attached Lid</v>
          </cell>
        </row>
        <row r="3645">
          <cell r="G3645" t="str">
            <v>LAF340</v>
          </cell>
          <cell r="H3645" t="str">
            <v>Round Inner Air Filter with Flanged Endcap</v>
          </cell>
        </row>
        <row r="3646">
          <cell r="G3646" t="str">
            <v>LAF7933</v>
          </cell>
          <cell r="H3646" t="str">
            <v>HD Metal-End Inner Air Filter</v>
          </cell>
        </row>
        <row r="3647">
          <cell r="G3647" t="str">
            <v>LAF8087</v>
          </cell>
          <cell r="H3647" t="str">
            <v>Radial Seal Air Filter</v>
          </cell>
        </row>
        <row r="3648">
          <cell r="G3648" t="str">
            <v>LAF8643</v>
          </cell>
          <cell r="H3648" t="str">
            <v>HD Metal-End Air Filter-Inner</v>
          </cell>
        </row>
        <row r="3649">
          <cell r="G3649" t="str">
            <v>LAF8825</v>
          </cell>
          <cell r="H3649" t="str">
            <v>HD Metal-End Air Filter</v>
          </cell>
        </row>
        <row r="3650">
          <cell r="G3650" t="str">
            <v>LFP8099</v>
          </cell>
          <cell r="H3650" t="str">
            <v>Spin-on Oil Filter</v>
          </cell>
        </row>
        <row r="3651">
          <cell r="G3651" t="str">
            <v>LH22119</v>
          </cell>
          <cell r="H3651" t="str">
            <v>Cartridge Hydraulic Filter</v>
          </cell>
        </row>
        <row r="3652">
          <cell r="G3652" t="str">
            <v>AF1061</v>
          </cell>
          <cell r="H3652" t="str">
            <v>Flexible Panel Air Filter</v>
          </cell>
        </row>
        <row r="3653">
          <cell r="G3653" t="str">
            <v>AF288</v>
          </cell>
          <cell r="H3653" t="str">
            <v>Flexible Panel Air Filter</v>
          </cell>
        </row>
        <row r="3654">
          <cell r="G3654" t="str">
            <v>AF4056</v>
          </cell>
          <cell r="H3654" t="str">
            <v>Radial Seal Air Filter</v>
          </cell>
        </row>
        <row r="3655">
          <cell r="G3655" t="str">
            <v>AF7955</v>
          </cell>
          <cell r="H3655" t="str">
            <v>Radial Seal Air Filter</v>
          </cell>
        </row>
        <row r="3656">
          <cell r="G3656" t="str">
            <v>AF7963</v>
          </cell>
          <cell r="H3656" t="str">
            <v>Flexible Panel Air Filter</v>
          </cell>
        </row>
        <row r="3657">
          <cell r="G3657" t="str">
            <v>AFB7844</v>
          </cell>
          <cell r="H3657" t="str">
            <v>Breather Filter</v>
          </cell>
        </row>
        <row r="3658">
          <cell r="G3658" t="str">
            <v>CAF1709</v>
          </cell>
          <cell r="H3658" t="str">
            <v>Cabin Air Filter</v>
          </cell>
        </row>
        <row r="3659">
          <cell r="G3659" t="str">
            <v>CAF1759</v>
          </cell>
          <cell r="H3659" t="str">
            <v>Cabin Air Filter</v>
          </cell>
        </row>
        <row r="3660">
          <cell r="G3660" t="str">
            <v>CAF1884P</v>
          </cell>
          <cell r="H3660" t="str">
            <v>Cabin Air Filter</v>
          </cell>
        </row>
        <row r="3661">
          <cell r="G3661" t="str">
            <v>CAF1946C</v>
          </cell>
          <cell r="H3661" t="str">
            <v>Cabin Air Filter</v>
          </cell>
        </row>
        <row r="3662">
          <cell r="G3662" t="str">
            <v>CAF7728</v>
          </cell>
          <cell r="H3662" t="str">
            <v>Cabin Air Filter (Carbon)</v>
          </cell>
        </row>
        <row r="3663">
          <cell r="G3663" t="str">
            <v>G6586</v>
          </cell>
          <cell r="H3663" t="str">
            <v>In-Line Fuel Filter</v>
          </cell>
        </row>
        <row r="3664">
          <cell r="G3664" t="str">
            <v>LAF2542</v>
          </cell>
          <cell r="H3664" t="str">
            <v>HD Metal-End Inner Air Filter</v>
          </cell>
        </row>
        <row r="3665">
          <cell r="G3665" t="str">
            <v>LAF466</v>
          </cell>
          <cell r="H3665" t="str">
            <v>HD Metal-End Air Filter</v>
          </cell>
        </row>
        <row r="3666">
          <cell r="G3666" t="str">
            <v>LAF7417</v>
          </cell>
          <cell r="H3666" t="str">
            <v>Radial Seal Outer Air Filter</v>
          </cell>
        </row>
        <row r="3667">
          <cell r="G3667" t="str">
            <v>LAF8088</v>
          </cell>
          <cell r="H3667" t="str">
            <v>Radial Seal Air Filter</v>
          </cell>
        </row>
        <row r="3668">
          <cell r="G3668" t="str">
            <v>LFH4970</v>
          </cell>
          <cell r="H3668" t="str">
            <v>Spin-on Hydraulic Filter</v>
          </cell>
        </row>
        <row r="3669">
          <cell r="G3669" t="str">
            <v>LH4227</v>
          </cell>
          <cell r="H3669" t="str">
            <v>Cartridge Hydraulic Filter</v>
          </cell>
        </row>
        <row r="3670">
          <cell r="G3670" t="str">
            <v>LH4963</v>
          </cell>
          <cell r="H3670" t="str">
            <v>Cartridge Hydraulic Filter</v>
          </cell>
        </row>
        <row r="3671">
          <cell r="G3671" t="str">
            <v>LH8599</v>
          </cell>
          <cell r="H3671" t="str">
            <v>Cartridge Hydraulic Filter</v>
          </cell>
        </row>
        <row r="3672">
          <cell r="G3672" t="str">
            <v>LP5036</v>
          </cell>
          <cell r="H3672" t="str">
            <v>Cartridge Oil Filter</v>
          </cell>
        </row>
        <row r="3673">
          <cell r="G3673" t="str">
            <v>PC238</v>
          </cell>
          <cell r="H3673" t="str">
            <v>PCV Valve</v>
          </cell>
        </row>
        <row r="3674">
          <cell r="G3674" t="str">
            <v>AF111</v>
          </cell>
          <cell r="H3674" t="str">
            <v>Round Air Filter</v>
          </cell>
        </row>
        <row r="3675">
          <cell r="G3675" t="str">
            <v>AF230</v>
          </cell>
          <cell r="H3675" t="str">
            <v>Air Filter</v>
          </cell>
        </row>
        <row r="3676">
          <cell r="G3676" t="str">
            <v>AF234</v>
          </cell>
          <cell r="H3676" t="str">
            <v>Rigid Panel Air Filter</v>
          </cell>
        </row>
        <row r="3677">
          <cell r="G3677" t="str">
            <v>AF3185</v>
          </cell>
          <cell r="H3677" t="str">
            <v>Air Filter</v>
          </cell>
        </row>
        <row r="3678">
          <cell r="G3678" t="str">
            <v>AF396</v>
          </cell>
          <cell r="H3678" t="str">
            <v>Flexible Panel Air Filter</v>
          </cell>
        </row>
        <row r="3679">
          <cell r="G3679" t="str">
            <v>AF401</v>
          </cell>
          <cell r="H3679" t="str">
            <v>Round Air Filter</v>
          </cell>
        </row>
        <row r="3680">
          <cell r="G3680" t="str">
            <v>AF5236</v>
          </cell>
          <cell r="H3680" t="str">
            <v>Air Filter</v>
          </cell>
        </row>
        <row r="3681">
          <cell r="G3681" t="str">
            <v>AF5250</v>
          </cell>
          <cell r="H3681" t="str">
            <v>Air Filter</v>
          </cell>
        </row>
        <row r="3682">
          <cell r="G3682" t="str">
            <v>AF7840</v>
          </cell>
          <cell r="H3682" t="str">
            <v>Round Air Filter</v>
          </cell>
        </row>
        <row r="3683">
          <cell r="G3683" t="str">
            <v>AF7881</v>
          </cell>
          <cell r="H3683" t="str">
            <v>Flexible Panel Air Filter</v>
          </cell>
        </row>
        <row r="3684">
          <cell r="G3684" t="str">
            <v>AF7889</v>
          </cell>
          <cell r="H3684" t="str">
            <v>Panel Air Filter</v>
          </cell>
        </row>
        <row r="3685">
          <cell r="G3685" t="str">
            <v>AF7915</v>
          </cell>
          <cell r="H3685" t="str">
            <v>Round Panel Air Filter</v>
          </cell>
        </row>
        <row r="3686">
          <cell r="G3686" t="str">
            <v>AF7961</v>
          </cell>
          <cell r="H3686" t="str">
            <v>Round Air Filter</v>
          </cell>
        </row>
        <row r="3687">
          <cell r="G3687" t="str">
            <v>CAF1925P</v>
          </cell>
          <cell r="H3687" t="str">
            <v>Cabin Air Filter</v>
          </cell>
        </row>
        <row r="3688">
          <cell r="G3688" t="str">
            <v>L5948F</v>
          </cell>
          <cell r="H3688" t="str">
            <v>Cartridge Fuel Filter</v>
          </cell>
        </row>
        <row r="3689">
          <cell r="G3689" t="str">
            <v>LAF1877</v>
          </cell>
          <cell r="H3689" t="str">
            <v>Panel Air Filter Metal Framed</v>
          </cell>
        </row>
        <row r="3690">
          <cell r="G3690" t="str">
            <v>LAF1984</v>
          </cell>
          <cell r="H3690" t="str">
            <v>Finned Vane Air Filter</v>
          </cell>
        </row>
        <row r="3691">
          <cell r="G3691" t="str">
            <v>LAF22036</v>
          </cell>
          <cell r="H3691" t="str">
            <v>Round Air Filter</v>
          </cell>
        </row>
        <row r="3692">
          <cell r="G3692" t="str">
            <v>LAF8672</v>
          </cell>
          <cell r="H3692" t="str">
            <v>Disposible Housing Air Filter</v>
          </cell>
        </row>
        <row r="3693">
          <cell r="G3693" t="str">
            <v>LFF200</v>
          </cell>
          <cell r="H3693" t="str">
            <v>Spin-on Fuel Filter</v>
          </cell>
        </row>
        <row r="3694">
          <cell r="G3694" t="str">
            <v>LH4913</v>
          </cell>
          <cell r="H3694" t="str">
            <v>Cartridge Hydraulic Filter</v>
          </cell>
        </row>
        <row r="3695">
          <cell r="G3695" t="str">
            <v>LH5012</v>
          </cell>
          <cell r="H3695" t="str">
            <v>Cartridge Hydraulic Filter</v>
          </cell>
        </row>
        <row r="3696">
          <cell r="G3696" t="str">
            <v>LH5942</v>
          </cell>
          <cell r="H3696" t="str">
            <v>Cartridge Hydraulic Filter</v>
          </cell>
        </row>
        <row r="3697">
          <cell r="G3697" t="str">
            <v>LH9412</v>
          </cell>
          <cell r="H3697" t="str">
            <v>Cartridge Hydraulic Filter</v>
          </cell>
        </row>
        <row r="3698">
          <cell r="G3698" t="str">
            <v>P7003</v>
          </cell>
          <cell r="H3698" t="str">
            <v>Cartridge Oil Filter</v>
          </cell>
        </row>
        <row r="3699">
          <cell r="G3699" t="str">
            <v>PC138</v>
          </cell>
          <cell r="H3699" t="str">
            <v>PCV Valve</v>
          </cell>
        </row>
        <row r="3700">
          <cell r="G3700" t="str">
            <v>PC257</v>
          </cell>
          <cell r="H3700" t="str">
            <v>PCV Valve</v>
          </cell>
        </row>
        <row r="3701">
          <cell r="G3701" t="str">
            <v>PC271</v>
          </cell>
          <cell r="H3701" t="str">
            <v>PCV Valve</v>
          </cell>
        </row>
        <row r="3702">
          <cell r="G3702" t="str">
            <v>PC301</v>
          </cell>
          <cell r="H3702" t="str">
            <v>PCV Valve</v>
          </cell>
        </row>
        <row r="3703">
          <cell r="G3703" t="str">
            <v>T180</v>
          </cell>
          <cell r="H3703" t="str">
            <v>Transmission Filter Kit</v>
          </cell>
        </row>
        <row r="3704">
          <cell r="G3704" t="str">
            <v>T717</v>
          </cell>
          <cell r="H3704" t="str">
            <v>Transmission Filter Kit</v>
          </cell>
        </row>
        <row r="3705">
          <cell r="G3705" t="str">
            <v>T723</v>
          </cell>
          <cell r="H3705" t="str">
            <v>Transmission Filter Kit</v>
          </cell>
        </row>
        <row r="3706">
          <cell r="G3706" t="str">
            <v>AF1682</v>
          </cell>
          <cell r="H3706" t="str">
            <v>Flexible Panel Air Filter</v>
          </cell>
        </row>
        <row r="3707">
          <cell r="G3707" t="str">
            <v>AF184</v>
          </cell>
          <cell r="H3707" t="str">
            <v>Round Air Filter</v>
          </cell>
        </row>
        <row r="3708">
          <cell r="G3708" t="str">
            <v>AF3077</v>
          </cell>
          <cell r="H3708" t="str">
            <v>Air Filter</v>
          </cell>
        </row>
        <row r="3709">
          <cell r="G3709" t="str">
            <v>AF4059</v>
          </cell>
          <cell r="H3709" t="str">
            <v>Air Filter</v>
          </cell>
        </row>
        <row r="3710">
          <cell r="G3710" t="str">
            <v>AF5612</v>
          </cell>
          <cell r="H3710" t="str">
            <v>HD Metal-End Air Filter</v>
          </cell>
        </row>
        <row r="3711">
          <cell r="G3711" t="str">
            <v>AF7378</v>
          </cell>
          <cell r="H3711" t="str">
            <v>Air Filter</v>
          </cell>
        </row>
        <row r="3712">
          <cell r="G3712" t="str">
            <v>AF7804</v>
          </cell>
          <cell r="H3712" t="str">
            <v>Air Filter</v>
          </cell>
        </row>
        <row r="3713">
          <cell r="G3713" t="str">
            <v>AF7936</v>
          </cell>
          <cell r="H3713" t="str">
            <v>Flexible Panel Air Filter</v>
          </cell>
        </row>
        <row r="3714">
          <cell r="G3714" t="str">
            <v>AF7968</v>
          </cell>
          <cell r="H3714" t="str">
            <v>Rigid Panel Air Filter</v>
          </cell>
        </row>
        <row r="3715">
          <cell r="G3715" t="str">
            <v>CAF1720</v>
          </cell>
          <cell r="H3715" t="str">
            <v>Cabin Air Filter</v>
          </cell>
        </row>
        <row r="3716">
          <cell r="G3716" t="str">
            <v>CAF1740</v>
          </cell>
          <cell r="H3716" t="str">
            <v>Cabin Air Filter</v>
          </cell>
        </row>
        <row r="3717">
          <cell r="G3717" t="str">
            <v>CAF1788</v>
          </cell>
          <cell r="H3717" t="str">
            <v>Cabin Air Filter</v>
          </cell>
        </row>
        <row r="3718">
          <cell r="G3718" t="str">
            <v>CAF1856P</v>
          </cell>
          <cell r="H3718" t="str">
            <v>Cabin Air Filter</v>
          </cell>
        </row>
        <row r="3719">
          <cell r="G3719" t="str">
            <v>G2909</v>
          </cell>
          <cell r="H3719" t="str">
            <v>In-Line Fuel Filter</v>
          </cell>
        </row>
        <row r="3720">
          <cell r="G3720" t="str">
            <v>G2975</v>
          </cell>
          <cell r="H3720" t="str">
            <v>In-Line Fuel Filter</v>
          </cell>
        </row>
        <row r="3721">
          <cell r="G3721" t="str">
            <v>G484</v>
          </cell>
          <cell r="H3721" t="str">
            <v>In-Line Fuel Filter</v>
          </cell>
        </row>
        <row r="3722">
          <cell r="G3722" t="str">
            <v>G6376</v>
          </cell>
          <cell r="H3722" t="str">
            <v>In-Line Fuel Filter</v>
          </cell>
        </row>
        <row r="3723">
          <cell r="G3723" t="str">
            <v>G6378</v>
          </cell>
          <cell r="H3723" t="str">
            <v>In-Line Fuel Filter</v>
          </cell>
        </row>
        <row r="3724">
          <cell r="G3724" t="str">
            <v>G6388</v>
          </cell>
          <cell r="H3724" t="str">
            <v>In-Line Fuel Filter</v>
          </cell>
        </row>
        <row r="3725">
          <cell r="G3725" t="str">
            <v>L3565F</v>
          </cell>
          <cell r="H3725" t="str">
            <v>Cartridge Fuel Filter</v>
          </cell>
        </row>
        <row r="3726">
          <cell r="G3726" t="str">
            <v>L4115F</v>
          </cell>
          <cell r="H3726" t="str">
            <v>Cartridge Fuel Filter</v>
          </cell>
        </row>
        <row r="3727">
          <cell r="G3727" t="str">
            <v>LAF1215HD</v>
          </cell>
          <cell r="H3727" t="str">
            <v>Round Air Filter</v>
          </cell>
        </row>
        <row r="3728">
          <cell r="G3728" t="str">
            <v>LAF1339</v>
          </cell>
          <cell r="H3728" t="str">
            <v>Cone Shaped Conical Air Filter</v>
          </cell>
        </row>
        <row r="3729">
          <cell r="G3729" t="str">
            <v>LAF1476</v>
          </cell>
          <cell r="H3729" t="str">
            <v>HD Metal-End Air Filter</v>
          </cell>
        </row>
        <row r="3730">
          <cell r="G3730" t="str">
            <v>LAF1966</v>
          </cell>
          <cell r="H3730" t="str">
            <v>Round Air Filter</v>
          </cell>
        </row>
        <row r="3731">
          <cell r="G3731" t="str">
            <v>LAF2528</v>
          </cell>
          <cell r="H3731" t="str">
            <v>Finned Vane Air Filter</v>
          </cell>
        </row>
        <row r="3732">
          <cell r="G3732" t="str">
            <v>LAF3779</v>
          </cell>
          <cell r="H3732" t="str">
            <v>Finned Vane Air Filter</v>
          </cell>
        </row>
        <row r="3733">
          <cell r="G3733" t="str">
            <v>LAF4159</v>
          </cell>
          <cell r="H3733" t="str">
            <v>Round Inner Air Filter</v>
          </cell>
        </row>
        <row r="3734">
          <cell r="G3734" t="str">
            <v>LAF5955</v>
          </cell>
          <cell r="H3734" t="str">
            <v>Radial Seal Inner Air Filter</v>
          </cell>
        </row>
        <row r="3735">
          <cell r="G3735" t="str">
            <v>LAF8077</v>
          </cell>
          <cell r="H3735" t="str">
            <v>HD Metal-End Inner Air Filter</v>
          </cell>
        </row>
        <row r="3736">
          <cell r="G3736" t="str">
            <v>LAF8497</v>
          </cell>
          <cell r="H3736" t="str">
            <v>Radial Seal Outer Air Filter</v>
          </cell>
        </row>
        <row r="3737">
          <cell r="G3737" t="str">
            <v>LAF8503</v>
          </cell>
          <cell r="H3737" t="str">
            <v>HD Round Air Filter with Attached Lid</v>
          </cell>
        </row>
        <row r="3738">
          <cell r="G3738" t="str">
            <v>LAF8518</v>
          </cell>
          <cell r="H3738" t="str">
            <v>HD Metal-End Air Filter-Inner</v>
          </cell>
        </row>
        <row r="3739">
          <cell r="G3739" t="str">
            <v>LAF884</v>
          </cell>
          <cell r="H3739" t="str">
            <v>Metal-End Air Filter with Closed Top End Cap</v>
          </cell>
        </row>
        <row r="3740">
          <cell r="G3740" t="str">
            <v>LFP2248SC</v>
          </cell>
          <cell r="H3740" t="str">
            <v>Spin-on Oil Filter</v>
          </cell>
        </row>
        <row r="3741">
          <cell r="G3741" t="str">
            <v>LFW5870</v>
          </cell>
          <cell r="H3741" t="str">
            <v>Spin-on Coolant Filter</v>
          </cell>
        </row>
        <row r="3742">
          <cell r="G3742" t="str">
            <v>LH4946</v>
          </cell>
          <cell r="H3742" t="str">
            <v>Cartridge Hydraulic Filter</v>
          </cell>
        </row>
        <row r="3743">
          <cell r="G3743" t="str">
            <v>LH4993</v>
          </cell>
          <cell r="H3743" t="str">
            <v>Cartridge Hydraulic Filter</v>
          </cell>
        </row>
        <row r="3744">
          <cell r="G3744" t="str">
            <v>LP2217</v>
          </cell>
          <cell r="H3744" t="str">
            <v>Cartridge Oil Filter</v>
          </cell>
        </row>
        <row r="3745">
          <cell r="G3745" t="str">
            <v>LP2219</v>
          </cell>
          <cell r="H3745" t="str">
            <v>Cartridge Oil Filter</v>
          </cell>
        </row>
        <row r="3746">
          <cell r="G3746" t="str">
            <v>LP2249</v>
          </cell>
          <cell r="H3746" t="str">
            <v>Cartridge Oil Filter</v>
          </cell>
        </row>
        <row r="3747">
          <cell r="G3747" t="str">
            <v>LP5902</v>
          </cell>
          <cell r="H3747" t="str">
            <v>Cartridge Oil Filter</v>
          </cell>
        </row>
        <row r="3748">
          <cell r="G3748" t="str">
            <v>PC136</v>
          </cell>
          <cell r="H3748" t="str">
            <v>PCV Valve</v>
          </cell>
        </row>
        <row r="3749">
          <cell r="G3749" t="str">
            <v>PC145</v>
          </cell>
          <cell r="H3749" t="str">
            <v>PCV Valve</v>
          </cell>
        </row>
        <row r="3750">
          <cell r="G3750" t="str">
            <v>PC215</v>
          </cell>
          <cell r="H3750" t="str">
            <v>PCV Valve</v>
          </cell>
        </row>
        <row r="3751">
          <cell r="G3751" t="str">
            <v>PC249</v>
          </cell>
          <cell r="H3751" t="str">
            <v>PCV Valve</v>
          </cell>
        </row>
        <row r="3752">
          <cell r="G3752" t="str">
            <v>PC258</v>
          </cell>
          <cell r="H3752" t="str">
            <v>PCV Valve</v>
          </cell>
        </row>
        <row r="3753">
          <cell r="G3753" t="str">
            <v>PC259</v>
          </cell>
          <cell r="H3753" t="str">
            <v>PCV Valve</v>
          </cell>
        </row>
        <row r="3754">
          <cell r="G3754" t="str">
            <v>PC403</v>
          </cell>
          <cell r="H3754" t="str">
            <v>PCV Valve</v>
          </cell>
        </row>
        <row r="3755">
          <cell r="G3755" t="str">
            <v>PC776</v>
          </cell>
          <cell r="H3755" t="str">
            <v>PCV Valve</v>
          </cell>
        </row>
        <row r="3756">
          <cell r="G3756" t="str">
            <v>T134</v>
          </cell>
          <cell r="H3756" t="str">
            <v>Transmission Filter Kit</v>
          </cell>
        </row>
        <row r="3757">
          <cell r="G3757" t="str">
            <v>T150</v>
          </cell>
          <cell r="H3757" t="str">
            <v>Transmission Filter Kit</v>
          </cell>
        </row>
        <row r="3758">
          <cell r="G3758" t="str">
            <v>T173</v>
          </cell>
          <cell r="H3758" t="str">
            <v>Transmission Filter Kit</v>
          </cell>
        </row>
        <row r="3759">
          <cell r="G3759" t="str">
            <v>T618</v>
          </cell>
          <cell r="H3759" t="str">
            <v>LUBER-FINER TRANSMISSION FLTR</v>
          </cell>
        </row>
        <row r="3760">
          <cell r="G3760" t="str">
            <v>T627</v>
          </cell>
          <cell r="H3760" t="str">
            <v>Transmission Filter Kit</v>
          </cell>
        </row>
        <row r="3761">
          <cell r="G3761" t="str">
            <v>AF3614</v>
          </cell>
          <cell r="H3761" t="str">
            <v>Air Filter</v>
          </cell>
        </row>
        <row r="3762">
          <cell r="G3762" t="str">
            <v>AF366</v>
          </cell>
          <cell r="H3762" t="str">
            <v>Round Panel Air Filter</v>
          </cell>
        </row>
        <row r="3763">
          <cell r="G3763" t="str">
            <v>AF3753</v>
          </cell>
          <cell r="H3763" t="str">
            <v>Air Filter</v>
          </cell>
        </row>
        <row r="3764">
          <cell r="G3764" t="str">
            <v>AF432</v>
          </cell>
          <cell r="H3764" t="str">
            <v>Round Air Filter</v>
          </cell>
        </row>
        <row r="3765">
          <cell r="G3765" t="str">
            <v>AF605</v>
          </cell>
          <cell r="H3765" t="str">
            <v>Air Filter</v>
          </cell>
        </row>
        <row r="3766">
          <cell r="G3766" t="str">
            <v>AF697R</v>
          </cell>
          <cell r="H3766" t="str">
            <v>Air Filter</v>
          </cell>
        </row>
        <row r="3767">
          <cell r="G3767" t="str">
            <v>AF7813</v>
          </cell>
          <cell r="H3767" t="str">
            <v>Air Filter</v>
          </cell>
        </row>
        <row r="3768">
          <cell r="G3768" t="str">
            <v>AF7883</v>
          </cell>
          <cell r="H3768" t="str">
            <v>Flexible Panel Air Filter</v>
          </cell>
        </row>
        <row r="3769">
          <cell r="G3769" t="str">
            <v>AF7957</v>
          </cell>
          <cell r="H3769" t="str">
            <v>Cone Shaped Conical Air Filter</v>
          </cell>
        </row>
        <row r="3770">
          <cell r="G3770" t="str">
            <v>AF7994</v>
          </cell>
          <cell r="H3770" t="str">
            <v>Foam Pad</v>
          </cell>
        </row>
        <row r="3771">
          <cell r="G3771" t="str">
            <v>AF82</v>
          </cell>
          <cell r="H3771" t="str">
            <v>Air Filter</v>
          </cell>
        </row>
        <row r="3772">
          <cell r="G3772" t="str">
            <v>CAF1718</v>
          </cell>
          <cell r="H3772" t="str">
            <v>Cabin Air Filter</v>
          </cell>
        </row>
        <row r="3773">
          <cell r="G3773" t="str">
            <v>CAF1753</v>
          </cell>
          <cell r="H3773" t="str">
            <v>Cabin Air Filter</v>
          </cell>
        </row>
        <row r="3774">
          <cell r="G3774" t="str">
            <v>CAF7704</v>
          </cell>
          <cell r="H3774" t="str">
            <v>Cabin Air Filter (Carbon)</v>
          </cell>
        </row>
        <row r="3775">
          <cell r="G3775" t="str">
            <v>CAF7717</v>
          </cell>
          <cell r="H3775" t="str">
            <v>Cabin Air Filter (Carbon)</v>
          </cell>
        </row>
        <row r="3776">
          <cell r="G3776" t="str">
            <v>CAF7737</v>
          </cell>
          <cell r="H3776" t="str">
            <v>Cabin Air Filter (Carbon)</v>
          </cell>
        </row>
        <row r="3777">
          <cell r="G3777" t="str">
            <v>CAF7754</v>
          </cell>
          <cell r="H3777" t="str">
            <v>Cabin Air Filter (Carbon)</v>
          </cell>
        </row>
        <row r="3778">
          <cell r="G3778" t="str">
            <v>CAF7755</v>
          </cell>
          <cell r="H3778" t="str">
            <v>Cabin Air Filter (Carbon)</v>
          </cell>
        </row>
        <row r="3779">
          <cell r="G3779" t="str">
            <v>G22076</v>
          </cell>
          <cell r="H3779" t="str">
            <v>In-Line Fuel Filter</v>
          </cell>
        </row>
        <row r="3780">
          <cell r="G3780" t="str">
            <v>G2902</v>
          </cell>
          <cell r="H3780" t="str">
            <v>In-Line Fuel Filter</v>
          </cell>
        </row>
        <row r="3781">
          <cell r="G3781" t="str">
            <v>G6336</v>
          </cell>
          <cell r="H3781" t="str">
            <v>In-Line Fuel Filter</v>
          </cell>
        </row>
        <row r="3782">
          <cell r="G3782" t="str">
            <v>G6398</v>
          </cell>
          <cell r="H3782" t="str">
            <v>In-Line Fuel Filter</v>
          </cell>
        </row>
        <row r="3783">
          <cell r="G3783" t="str">
            <v>G6532</v>
          </cell>
          <cell r="H3783" t="str">
            <v>In-Line Fuel Filter</v>
          </cell>
        </row>
        <row r="3784">
          <cell r="G3784" t="str">
            <v>G6543</v>
          </cell>
          <cell r="H3784" t="str">
            <v>In-Line Fuel Filter</v>
          </cell>
        </row>
        <row r="3785">
          <cell r="G3785" t="str">
            <v>KIT1</v>
          </cell>
          <cell r="H3785" t="str">
            <v>Service Gasket</v>
          </cell>
        </row>
        <row r="3786">
          <cell r="G3786" t="str">
            <v>L3570F</v>
          </cell>
          <cell r="H3786" t="str">
            <v>Cartridge Fuel Filter</v>
          </cell>
        </row>
        <row r="3787">
          <cell r="G3787" t="str">
            <v>L4118F</v>
          </cell>
          <cell r="H3787" t="str">
            <v>Cartridge Fuel Filter</v>
          </cell>
        </row>
        <row r="3788">
          <cell r="G3788" t="str">
            <v>L4119F</v>
          </cell>
          <cell r="H3788" t="str">
            <v>Cartridge Fuel Filter</v>
          </cell>
        </row>
        <row r="3789">
          <cell r="G3789" t="str">
            <v>L5839F</v>
          </cell>
          <cell r="H3789" t="str">
            <v>Cartridge Fuel Filter</v>
          </cell>
        </row>
        <row r="3790">
          <cell r="G3790" t="str">
            <v>L897B</v>
          </cell>
          <cell r="H3790" t="str">
            <v>Glass Bowl with Sensor Port for LFF8061</v>
          </cell>
        </row>
        <row r="3791">
          <cell r="G3791" t="str">
            <v>LAF1467</v>
          </cell>
          <cell r="H3791" t="str">
            <v>Finned Vane Air Filter</v>
          </cell>
        </row>
        <row r="3792">
          <cell r="G3792" t="str">
            <v>LAF1743</v>
          </cell>
          <cell r="H3792" t="str">
            <v>HD Metal-End Air Filter</v>
          </cell>
        </row>
        <row r="3793">
          <cell r="G3793" t="str">
            <v>LAF1775</v>
          </cell>
          <cell r="H3793" t="str">
            <v>Round Inner Air Filter with Flanged Endcap</v>
          </cell>
        </row>
        <row r="3794">
          <cell r="G3794" t="str">
            <v>LAF1778</v>
          </cell>
          <cell r="H3794" t="str">
            <v>HD Metal-End Inner Air Filter</v>
          </cell>
        </row>
        <row r="3795">
          <cell r="G3795" t="str">
            <v>LAF1786</v>
          </cell>
          <cell r="H3795" t="str">
            <v>HD Metal-End Inner Air Filter</v>
          </cell>
        </row>
        <row r="3796">
          <cell r="G3796" t="str">
            <v>LAF189</v>
          </cell>
          <cell r="H3796" t="str">
            <v>Round Air Filter</v>
          </cell>
        </row>
        <row r="3797">
          <cell r="G3797" t="str">
            <v>LAF1976</v>
          </cell>
          <cell r="H3797" t="str">
            <v>Finned Vane Air Filter</v>
          </cell>
        </row>
        <row r="3798">
          <cell r="G3798" t="str">
            <v>LAF200</v>
          </cell>
          <cell r="H3798" t="str">
            <v>Round Air Filter</v>
          </cell>
        </row>
        <row r="3799">
          <cell r="G3799" t="str">
            <v>LAF22006</v>
          </cell>
          <cell r="H3799" t="str">
            <v>Disposible Housing Air Filter</v>
          </cell>
        </row>
        <row r="3800">
          <cell r="G3800" t="str">
            <v>LAF2547</v>
          </cell>
          <cell r="H3800" t="str">
            <v>Heavy Duty Air Filter With Attached Lid</v>
          </cell>
        </row>
        <row r="3801">
          <cell r="G3801" t="str">
            <v>LAF263</v>
          </cell>
          <cell r="H3801" t="str">
            <v>HD Metal-End Air Filter</v>
          </cell>
        </row>
        <row r="3802">
          <cell r="G3802" t="str">
            <v>LAF4350</v>
          </cell>
          <cell r="H3802" t="str">
            <v>Round Inner Air Filter with Flanged Endcap</v>
          </cell>
        </row>
        <row r="3803">
          <cell r="G3803" t="str">
            <v>LAF5781</v>
          </cell>
          <cell r="H3803" t="str">
            <v>Flexible Panel Air Filter</v>
          </cell>
        </row>
        <row r="3804">
          <cell r="G3804" t="str">
            <v>LAF5796</v>
          </cell>
          <cell r="H3804" t="str">
            <v>Round Air Filter</v>
          </cell>
        </row>
        <row r="3805">
          <cell r="G3805" t="str">
            <v>LAF5882</v>
          </cell>
          <cell r="H3805" t="str">
            <v>Round Air Filter</v>
          </cell>
        </row>
        <row r="3806">
          <cell r="G3806" t="str">
            <v>LAF6299</v>
          </cell>
          <cell r="H3806" t="str">
            <v>Metal-End Air Filter with Closed Top End Cap</v>
          </cell>
        </row>
        <row r="3807">
          <cell r="G3807" t="str">
            <v>LAF6998MXM</v>
          </cell>
          <cell r="H3807" t="str">
            <v>Nano Tech Radial Seal Air Filter</v>
          </cell>
        </row>
        <row r="3808">
          <cell r="G3808" t="str">
            <v>LAF8496</v>
          </cell>
          <cell r="H3808" t="str">
            <v>Radial Seal Outer Air Filter</v>
          </cell>
        </row>
        <row r="3809">
          <cell r="G3809" t="str">
            <v>LAF8530</v>
          </cell>
          <cell r="H3809" t="str">
            <v>Round Plastisol Air Filter</v>
          </cell>
        </row>
        <row r="3810">
          <cell r="G3810" t="str">
            <v>LAF8565</v>
          </cell>
          <cell r="H3810" t="str">
            <v>Cone Shaped Conical Air Filter</v>
          </cell>
        </row>
        <row r="3811">
          <cell r="G3811" t="str">
            <v>LAF8613</v>
          </cell>
          <cell r="H3811" t="str">
            <v>HD Metal-End Inner Air Filter</v>
          </cell>
        </row>
        <row r="3812">
          <cell r="G3812" t="str">
            <v>LAF8748</v>
          </cell>
          <cell r="H3812" t="str">
            <v>Radial Seal Inner Air Filter</v>
          </cell>
        </row>
        <row r="3813">
          <cell r="G3813" t="str">
            <v>LAF8971</v>
          </cell>
          <cell r="H3813" t="str">
            <v>HD Metal-End Air Filter</v>
          </cell>
        </row>
        <row r="3814">
          <cell r="G3814" t="str">
            <v>LAF8991</v>
          </cell>
          <cell r="H3814" t="str">
            <v>HD Metal-End Air Filter</v>
          </cell>
        </row>
        <row r="3815">
          <cell r="G3815" t="str">
            <v>LFH4206</v>
          </cell>
          <cell r="H3815" t="str">
            <v>Spin-on Hydraulic Filter</v>
          </cell>
        </row>
        <row r="3816">
          <cell r="G3816" t="str">
            <v>LFH4388</v>
          </cell>
          <cell r="H3816" t="str">
            <v>Spin-on Hydraulic Filter</v>
          </cell>
        </row>
        <row r="3817">
          <cell r="G3817" t="str">
            <v>LFH5014</v>
          </cell>
          <cell r="H3817" t="str">
            <v>Spin-on Hydraulic Filter</v>
          </cell>
        </row>
        <row r="3818">
          <cell r="G3818" t="str">
            <v>LFH8243</v>
          </cell>
          <cell r="H3818" t="str">
            <v>Spin-on Hydraulic Filter</v>
          </cell>
        </row>
        <row r="3819">
          <cell r="G3819" t="str">
            <v>LFP8509</v>
          </cell>
          <cell r="H3819" t="str">
            <v>Spin-on Oil Filter</v>
          </cell>
        </row>
        <row r="3820">
          <cell r="G3820" t="str">
            <v>LH22067</v>
          </cell>
          <cell r="H3820" t="str">
            <v>Cartridge Hydraulic Filter</v>
          </cell>
        </row>
        <row r="3821">
          <cell r="G3821" t="str">
            <v>LH4100</v>
          </cell>
          <cell r="H3821" t="str">
            <v>Cartridge Hydraulic Filter</v>
          </cell>
        </row>
        <row r="3822">
          <cell r="G3822" t="str">
            <v>LH4231</v>
          </cell>
          <cell r="H3822" t="str">
            <v>Cartridge Hydraulic Filter</v>
          </cell>
        </row>
        <row r="3823">
          <cell r="G3823" t="str">
            <v>LH4480</v>
          </cell>
          <cell r="H3823" t="str">
            <v>Cartridge Hydraulic Filter</v>
          </cell>
        </row>
        <row r="3824">
          <cell r="G3824" t="str">
            <v>LH5746</v>
          </cell>
          <cell r="H3824" t="str">
            <v>Cartridge Hydraulic Filter</v>
          </cell>
        </row>
        <row r="3825">
          <cell r="G3825" t="str">
            <v>LH7048V</v>
          </cell>
          <cell r="H3825" t="str">
            <v>Cartridge Hydraulic Filter</v>
          </cell>
        </row>
        <row r="3826">
          <cell r="G3826" t="str">
            <v>LH8510</v>
          </cell>
          <cell r="H3826" t="str">
            <v>Cartridge Hydraulic Filter</v>
          </cell>
        </row>
        <row r="3827">
          <cell r="G3827" t="str">
            <v>LH8788</v>
          </cell>
          <cell r="H3827" t="str">
            <v>Cartridge Hydraulic Filter</v>
          </cell>
        </row>
        <row r="3828">
          <cell r="G3828" t="str">
            <v>LH9406V</v>
          </cell>
          <cell r="H3828" t="str">
            <v>Cartridge Hydraulic Filter</v>
          </cell>
        </row>
        <row r="3829">
          <cell r="G3829" t="str">
            <v>LH95304V</v>
          </cell>
          <cell r="H3829" t="str">
            <v>Cartridge Hydraulic Filter</v>
          </cell>
        </row>
        <row r="3830">
          <cell r="G3830" t="str">
            <v>LK245C</v>
          </cell>
          <cell r="H3830" t="str">
            <v>Cummins Engine Maintenance Kit</v>
          </cell>
        </row>
        <row r="3831">
          <cell r="G3831" t="str">
            <v>LK327DF</v>
          </cell>
          <cell r="H3831" t="str">
            <v>Cummins Engine Maintenance Kit</v>
          </cell>
        </row>
        <row r="3832">
          <cell r="G3832" t="str">
            <v>LK372V</v>
          </cell>
          <cell r="H3832" t="str">
            <v>Volvo Fleet Maintenance Kit</v>
          </cell>
        </row>
        <row r="3833">
          <cell r="G3833" t="str">
            <v>LK373I</v>
          </cell>
          <cell r="H3833" t="str">
            <v>Maintenance Kit</v>
          </cell>
        </row>
        <row r="3834">
          <cell r="G3834" t="str">
            <v>LK376V</v>
          </cell>
          <cell r="H3834" t="str">
            <v>Maintenance Kit</v>
          </cell>
        </row>
        <row r="3835">
          <cell r="G3835" t="str">
            <v>LK379V</v>
          </cell>
          <cell r="H3835" t="str">
            <v>Maintenance Kit</v>
          </cell>
        </row>
        <row r="3836">
          <cell r="G3836" t="str">
            <v>LP2211</v>
          </cell>
          <cell r="H3836" t="str">
            <v>Cartridge Oil Filter</v>
          </cell>
        </row>
        <row r="3837">
          <cell r="G3837" t="str">
            <v>LP5577</v>
          </cell>
          <cell r="H3837" t="str">
            <v>HD Product</v>
          </cell>
        </row>
        <row r="3838">
          <cell r="G3838" t="str">
            <v>LP8367</v>
          </cell>
          <cell r="H3838" t="str">
            <v>Cartridge Hydraulic Filter</v>
          </cell>
        </row>
        <row r="3839">
          <cell r="G3839" t="str">
            <v>P3987</v>
          </cell>
          <cell r="H3839" t="str">
            <v>Cartridge Oil Filter</v>
          </cell>
        </row>
        <row r="3840">
          <cell r="G3840" t="str">
            <v>P8493</v>
          </cell>
          <cell r="H3840" t="str">
            <v>Cartridge Oil Filter</v>
          </cell>
        </row>
        <row r="3841">
          <cell r="G3841" t="str">
            <v>PC104</v>
          </cell>
          <cell r="H3841" t="str">
            <v>PCV Valve</v>
          </cell>
        </row>
        <row r="3842">
          <cell r="G3842" t="str">
            <v>PC126</v>
          </cell>
          <cell r="H3842" t="str">
            <v>PCV Valve</v>
          </cell>
        </row>
        <row r="3843">
          <cell r="G3843" t="str">
            <v>PC178</v>
          </cell>
          <cell r="H3843" t="str">
            <v>PCV Valve</v>
          </cell>
        </row>
        <row r="3844">
          <cell r="G3844" t="str">
            <v>PC184</v>
          </cell>
          <cell r="H3844" t="str">
            <v>PCV Valve</v>
          </cell>
        </row>
        <row r="3845">
          <cell r="G3845" t="str">
            <v>PC193</v>
          </cell>
          <cell r="H3845" t="str">
            <v>PCV Valve</v>
          </cell>
        </row>
        <row r="3846">
          <cell r="G3846" t="str">
            <v>PC198</v>
          </cell>
          <cell r="H3846" t="str">
            <v>PCV Valve</v>
          </cell>
        </row>
        <row r="3847">
          <cell r="G3847" t="str">
            <v>PC199</v>
          </cell>
          <cell r="H3847" t="str">
            <v>PCV Valve</v>
          </cell>
        </row>
        <row r="3848">
          <cell r="G3848" t="str">
            <v>PC269</v>
          </cell>
          <cell r="H3848" t="str">
            <v>PCV Valve</v>
          </cell>
        </row>
        <row r="3849">
          <cell r="G3849" t="str">
            <v>PC391</v>
          </cell>
          <cell r="H3849" t="str">
            <v>PCV Valve</v>
          </cell>
        </row>
        <row r="3850">
          <cell r="G3850" t="str">
            <v>T154</v>
          </cell>
          <cell r="H3850" t="str">
            <v>Transmission Filter Kit</v>
          </cell>
        </row>
        <row r="3851">
          <cell r="G3851" t="str">
            <v>T474</v>
          </cell>
          <cell r="H3851" t="str">
            <v>Transmission Filter Kit</v>
          </cell>
        </row>
        <row r="3852">
          <cell r="G3852" t="str">
            <v>GASKET</v>
          </cell>
          <cell r="H3852" t="str">
            <v>Cover Gasket, Flat 10 hole/300-S</v>
          </cell>
        </row>
        <row r="3853">
          <cell r="G3853" t="str">
            <v>MACH</v>
          </cell>
          <cell r="H3853" t="str">
            <v>Base Bolts/750-2, 3, 2C &amp; 3C</v>
          </cell>
        </row>
        <row r="3854">
          <cell r="G3854" t="str">
            <v>ZINC</v>
          </cell>
          <cell r="H3854" t="str">
            <v>Hollow Bolt, Outlet/500B, C, 750-B &amp; C, CT</v>
          </cell>
        </row>
        <row r="3855">
          <cell r="G3855" t="str">
            <v>ZINC</v>
          </cell>
          <cell r="H3855" t="str">
            <v>Drain Plug/500-B, C, 750-B &amp; C, CT</v>
          </cell>
        </row>
        <row r="3856">
          <cell r="G3856">
            <v>1143</v>
          </cell>
          <cell r="H3856" t="str">
            <v>Replaces Wix 15661 gasket.</v>
          </cell>
        </row>
        <row r="3857">
          <cell r="G3857">
            <v>1147</v>
          </cell>
          <cell r="H3857" t="str">
            <v>Baldwin 200-GK; set of 11 gaskets for 200 and 300 Series Dahl fuel systems.</v>
          </cell>
        </row>
        <row r="3858">
          <cell r="G3858">
            <v>1150</v>
          </cell>
          <cell r="H3858" t="str">
            <v>Baldwin 65 Gasoline or Diesel Fuel Filter/Water Separator</v>
          </cell>
        </row>
        <row r="3859">
          <cell r="G3859">
            <v>1151</v>
          </cell>
          <cell r="H3859" t="str">
            <v>Baldwin 75 Gasoline or Diesel Fuel Filter/Water Separator</v>
          </cell>
        </row>
        <row r="3860">
          <cell r="G3860">
            <v>1152</v>
          </cell>
          <cell r="H3860" t="str">
            <v>Baldwin G301; O-ring used in LP7485 by-pass lube filter for International trucks.</v>
          </cell>
        </row>
        <row r="3861">
          <cell r="G3861" t="str">
            <v>PACK</v>
          </cell>
          <cell r="H3861" t="str">
            <v>Washer, Pack Take-Up Assembly/F-120, F-155 &amp; F-170</v>
          </cell>
        </row>
        <row r="3862">
          <cell r="G3862" t="str">
            <v>WASHER</v>
          </cell>
          <cell r="H3862" t="str">
            <v>Hold Down Washer, Buna-N/500-B, 750-B, 2, 2C, 3, 3C, F-120, F-135, F-170</v>
          </cell>
        </row>
        <row r="3863">
          <cell r="G3863" t="str">
            <v>PACK</v>
          </cell>
          <cell r="H3863" t="str">
            <v>Hold Down Washer, Steel/500-B, 750-B, 2, 2C, 3, 3C</v>
          </cell>
        </row>
        <row r="3864">
          <cell r="G3864" t="str">
            <v>INLET</v>
          </cell>
          <cell r="H3864" t="str">
            <v>Inlet Valve &amp; Spring/750-2, 2C, 3, 3C</v>
          </cell>
        </row>
        <row r="3865">
          <cell r="G3865" t="str">
            <v>SPRING</v>
          </cell>
          <cell r="H3865" t="str">
            <v>Hole Down Spring/750-2, 2C, 3, 3C, F-120, F-155</v>
          </cell>
        </row>
        <row r="3866">
          <cell r="G3866">
            <v>120</v>
          </cell>
          <cell r="H3866" t="str">
            <v>Luber-finer F-120 diesel fuel filter refining pak</v>
          </cell>
        </row>
        <row r="3867">
          <cell r="G3867" t="str">
            <v>SPRING</v>
          </cell>
          <cell r="H3867" t="str">
            <v>Inlet Valve Spring/500-B, C, 750-B, C</v>
          </cell>
        </row>
        <row r="3868">
          <cell r="G3868" t="str">
            <v>LABEL</v>
          </cell>
          <cell r="H3868" t="str">
            <v>Decal, Medium For All Models Except 750-2C, 3C</v>
          </cell>
        </row>
        <row r="3869">
          <cell r="G3869" t="str">
            <v>LABEL</v>
          </cell>
          <cell r="H3869" t="str">
            <v>Decal, Large/750-2C, 3C</v>
          </cell>
        </row>
        <row r="3870">
          <cell r="G3870" t="str">
            <v>MOUNTING</v>
          </cell>
          <cell r="H3870" t="str">
            <v>Mounting Bracket Kit--Nuts &amp; Bolts/272C, 363C, 500C, 750C</v>
          </cell>
        </row>
        <row r="3871">
          <cell r="G3871">
            <v>1867</v>
          </cell>
          <cell r="H3871" t="str">
            <v>Cover Gasket/78, 135-S, 200-S</v>
          </cell>
        </row>
        <row r="3872">
          <cell r="G3872" t="str">
            <v>O/T</v>
          </cell>
          <cell r="H3872" t="str">
            <v>Outlet Tube &amp; Nut Assembly (Std.)/750-B, C</v>
          </cell>
        </row>
        <row r="3873">
          <cell r="G3873" t="str">
            <v>O/T</v>
          </cell>
          <cell r="H3873" t="str">
            <v>Outlet Tube &amp; Nut Assembly (Std.)/500-B &amp; C</v>
          </cell>
        </row>
        <row r="3874">
          <cell r="G3874" t="str">
            <v>HOLLOW</v>
          </cell>
          <cell r="H3874" t="str">
            <v>Hollow Bolt, Inlet/500-B &amp; C, 750-B &amp; C</v>
          </cell>
        </row>
        <row r="3875">
          <cell r="G3875" t="str">
            <v>STUD</v>
          </cell>
          <cell r="H3875" t="str">
            <v>Hold Down Stud w/o Bleeder for 2258/500C, 750-C</v>
          </cell>
        </row>
        <row r="3876">
          <cell r="G3876">
            <v>2124</v>
          </cell>
          <cell r="H3876" t="str">
            <v>Hold Down Assembly/750-C</v>
          </cell>
        </row>
        <row r="3877">
          <cell r="G3877" t="str">
            <v>750CT</v>
          </cell>
          <cell r="H3877" t="str">
            <v>Standard Upright 750-C Unit w/Imperial  Diesel Filter Pack</v>
          </cell>
        </row>
        <row r="3878">
          <cell r="G3878" t="str">
            <v>SPRING</v>
          </cell>
          <cell r="H3878" t="str">
            <v>Hold Down Spring/500-C, 750-C, CT</v>
          </cell>
        </row>
        <row r="3879">
          <cell r="G3879" t="str">
            <v>UNIT</v>
          </cell>
          <cell r="H3879" t="str">
            <v>750-2C w/Floor Base &amp; 2 Imperial Diesel Packs</v>
          </cell>
        </row>
        <row r="3880">
          <cell r="G3880" t="str">
            <v>PKGD</v>
          </cell>
          <cell r="H3880" t="str">
            <v>750-3C w/Floor Base &amp; 3 Imperial Diesel Packs</v>
          </cell>
        </row>
        <row r="3881">
          <cell r="G3881" t="str">
            <v>WASHER</v>
          </cell>
          <cell r="H3881" t="str">
            <v>Hold Down Washer, Buna-N/500-C, 750-C, CT</v>
          </cell>
        </row>
        <row r="3882">
          <cell r="G3882" t="str">
            <v>WASHER</v>
          </cell>
          <cell r="H3882" t="str">
            <v>Hold Down Washer, Steel/500-C, 750-C, CT</v>
          </cell>
        </row>
        <row r="3883">
          <cell r="G3883" t="str">
            <v>BRKT</v>
          </cell>
          <cell r="H3883" t="str">
            <v>Bracket Brand/500-C, 750-C, 970-C</v>
          </cell>
        </row>
        <row r="3884">
          <cell r="G3884" t="str">
            <v>BRKT</v>
          </cell>
          <cell r="H3884" t="str">
            <v>Bracket Base/500-C, 750-C, 970-C</v>
          </cell>
        </row>
        <row r="3885">
          <cell r="G3885" t="str">
            <v>BKT</v>
          </cell>
          <cell r="H3885" t="str">
            <v>Mounting Bracket Assembly (2 Req.)/500-C, 750-C, CT, 970-C (1Brkt, 1 Band)</v>
          </cell>
        </row>
        <row r="3886">
          <cell r="G3886" t="str">
            <v>HANDLE</v>
          </cell>
          <cell r="H3886" t="str">
            <v>Pack Hold Down Handle/500-C, 750-C, CT, 2C, 3C, 970-C</v>
          </cell>
        </row>
        <row r="3887">
          <cell r="G3887">
            <v>500</v>
          </cell>
          <cell r="H3887" t="str">
            <v>500-C Lower Housing Shell w/Retaining Ring Only</v>
          </cell>
        </row>
        <row r="3888">
          <cell r="G3888" t="str">
            <v>STUD</v>
          </cell>
          <cell r="H3888" t="str">
            <v>Hold Down Assembly w/Bleeder For Lube Oil/500-C, 750-C</v>
          </cell>
        </row>
        <row r="3889">
          <cell r="G3889" t="str">
            <v>BRKT</v>
          </cell>
          <cell r="H3889" t="str">
            <v>Bracket Base/272-C, 300-S, 363-C</v>
          </cell>
        </row>
        <row r="3890">
          <cell r="G3890" t="str">
            <v>BRKT</v>
          </cell>
          <cell r="H3890" t="str">
            <v>Bracket Band/272-C, 300-S, 363-C</v>
          </cell>
        </row>
        <row r="3891">
          <cell r="G3891" t="str">
            <v>272</v>
          </cell>
          <cell r="H3891" t="str">
            <v>Cover w/1 Plug Hole 272C, 363C</v>
          </cell>
        </row>
        <row r="3892">
          <cell r="G3892" t="str">
            <v>HSG.</v>
          </cell>
          <cell r="H3892" t="str">
            <v>Housing w/Retaining Ring Only, 363C</v>
          </cell>
        </row>
        <row r="3893">
          <cell r="G3893" t="str">
            <v>OUTLET</v>
          </cell>
          <cell r="H3893" t="str">
            <v>Outlet Check Valve Assembly/363-C</v>
          </cell>
        </row>
        <row r="3894">
          <cell r="G3894" t="str">
            <v>OUTLET</v>
          </cell>
          <cell r="H3894" t="str">
            <v>Outlet Post/363-C</v>
          </cell>
        </row>
        <row r="3895">
          <cell r="G3895">
            <v>2416</v>
          </cell>
          <cell r="H3895" t="str">
            <v>Drain Cock, 1/4" N.P.T./272-C, 363-C, F-120, 115, 170</v>
          </cell>
        </row>
        <row r="3896">
          <cell r="G3896" t="str">
            <v>PACK</v>
          </cell>
          <cell r="H3896" t="str">
            <v>Pack Support/363-C</v>
          </cell>
        </row>
        <row r="3897">
          <cell r="G3897" t="str">
            <v>INLET</v>
          </cell>
          <cell r="H3897" t="str">
            <v>Inlet Check Valve Assembly/363-C</v>
          </cell>
        </row>
        <row r="3898">
          <cell r="G3898" t="str">
            <v>750-2C</v>
          </cell>
          <cell r="H3898" t="str">
            <v>Housing Assembly w/retaining ring, 750-2C</v>
          </cell>
        </row>
        <row r="3899">
          <cell r="G3899" t="str">
            <v>750-3C</v>
          </cell>
          <cell r="H3899" t="str">
            <v>Housing Assembly w/Retaining Ring, 750-3C</v>
          </cell>
        </row>
        <row r="3900">
          <cell r="G3900" t="str">
            <v>ALIGNMENT</v>
          </cell>
          <cell r="H3900" t="str">
            <v>Alignment Ring, Hold Down Assembly/750-2C, 3C</v>
          </cell>
        </row>
        <row r="3901">
          <cell r="G3901" t="str">
            <v>BRACKET</v>
          </cell>
          <cell r="H3901" t="str">
            <v>Bracket Base Spevial (Double 2206)/500-C, 750-C, CT</v>
          </cell>
        </row>
        <row r="3902">
          <cell r="G3902" t="str">
            <v>OUTLET</v>
          </cell>
          <cell r="H3902" t="str">
            <v>Outlet Tube/750-2C</v>
          </cell>
        </row>
        <row r="3903">
          <cell r="G3903" t="str">
            <v>OUTLET</v>
          </cell>
          <cell r="H3903" t="str">
            <v>Outlet Tube/750-3C</v>
          </cell>
        </row>
        <row r="3904">
          <cell r="G3904" t="str">
            <v>BLK</v>
          </cell>
          <cell r="H3904" t="str">
            <v>750-C, CT Lower Housing Shell, Black/750-C, CT</v>
          </cell>
        </row>
        <row r="3905">
          <cell r="G3905" t="str">
            <v>MTG</v>
          </cell>
          <cell r="H3905" t="str">
            <v>Mounting Brkt. Assembly (2 Req.)/500-C, CT, 970-C (1 Brkt., 1 Band), Black/500-C, 750-C, CT</v>
          </cell>
        </row>
        <row r="3906">
          <cell r="G3906" t="str">
            <v>BRACKET</v>
          </cell>
          <cell r="H3906" t="str">
            <v>Bracket Base/500-C, CT, 750-C, 970-C, Black/500-C, 750-C, CT</v>
          </cell>
        </row>
        <row r="3907">
          <cell r="G3907" t="str">
            <v>BRACKET</v>
          </cell>
          <cell r="H3907" t="str">
            <v>Bracket Band/500-C, 750-C, CT, 970-C, Black/500-C, 750-C, CT</v>
          </cell>
        </row>
        <row r="3908">
          <cell r="G3908" t="str">
            <v>78</v>
          </cell>
          <cell r="H3908" t="str">
            <v>Luber-finer model 78 diesel pak detergent type oil filter</v>
          </cell>
        </row>
        <row r="3909">
          <cell r="G3909" t="str">
            <v>750</v>
          </cell>
          <cell r="H3909" t="str">
            <v>LF750 microcell pak-filtration of clear, synthetic fluids or solvents</v>
          </cell>
        </row>
        <row r="3910">
          <cell r="G3910" t="str">
            <v>500CT</v>
          </cell>
          <cell r="H3910" t="str">
            <v>Standard Upright Refining Unit Filter w/Filter Pack/500-C</v>
          </cell>
        </row>
        <row r="3911">
          <cell r="G3911" t="str">
            <v>750CT</v>
          </cell>
          <cell r="H3911" t="str">
            <v>Standard Upright Refining Unit w/Filter Pack/750-C</v>
          </cell>
        </row>
        <row r="3912">
          <cell r="G3912" t="str">
            <v>COVER</v>
          </cell>
          <cell r="H3912" t="str">
            <v>Cover w/3 Plugs Holes for Horizontal Mount/272-C, 363-C</v>
          </cell>
        </row>
        <row r="3913">
          <cell r="G3913" t="str">
            <v>PKGD</v>
          </cell>
          <cell r="H3913" t="str">
            <v>Standard Upright Microcell Unit w/Filter Pack/750-C, CT</v>
          </cell>
        </row>
        <row r="3914">
          <cell r="G3914" t="str">
            <v>PKGD</v>
          </cell>
          <cell r="H3914" t="str">
            <v>Microcell Unit w/Floor Base &amp; Filter Pack/750-2C</v>
          </cell>
        </row>
        <row r="3915">
          <cell r="G3915" t="str">
            <v>CLAMP</v>
          </cell>
          <cell r="H3915" t="str">
            <v>Clamping Ring Assembly, 2 Piece/272-C, 363-C</v>
          </cell>
        </row>
        <row r="3916">
          <cell r="G3916" t="str">
            <v>PKGD</v>
          </cell>
          <cell r="H3916" t="str">
            <v>Microcell Unit w/Floor Base &amp; Filter Pack/750-3C</v>
          </cell>
        </row>
        <row r="3917">
          <cell r="G3917" t="str">
            <v>PKGD</v>
          </cell>
          <cell r="H3917" t="str">
            <v>Refining Unit w/Floor Base &amp; Filter Pack/750-2</v>
          </cell>
        </row>
        <row r="3918">
          <cell r="G3918" t="str">
            <v>PKGD</v>
          </cell>
          <cell r="H3918" t="str">
            <v>Refining Unit w/Floor Base &amp; Filter Pack/750-3C</v>
          </cell>
        </row>
        <row r="3919">
          <cell r="G3919" t="str">
            <v>1/8</v>
          </cell>
          <cell r="H3919" t="str">
            <v>Vent Plug, Hex Head 1/8" N.P.T./F-120, F-155, F-170</v>
          </cell>
        </row>
        <row r="3920">
          <cell r="G3920">
            <v>3248</v>
          </cell>
          <cell r="H3920" t="str">
            <v>Pack Support Cup/500-C, 750-C (Inverted Units)</v>
          </cell>
        </row>
        <row r="3921">
          <cell r="G3921" t="str">
            <v>750CT</v>
          </cell>
          <cell r="H3921" t="str">
            <v>INVERTED 750C</v>
          </cell>
        </row>
        <row r="3922">
          <cell r="G3922" t="str">
            <v>750</v>
          </cell>
          <cell r="H3922" t="str">
            <v>Outlet Tube &amp; Nut Assembly w/Bleeder/750-C (Inverted Unit)</v>
          </cell>
        </row>
        <row r="3923">
          <cell r="G3923" t="str">
            <v>3257</v>
          </cell>
          <cell r="H3923" t="str">
            <v>Pack Hold Down Assembly/750-C (Inverted Unit)</v>
          </cell>
        </row>
        <row r="3924">
          <cell r="G3924" t="str">
            <v>500CT</v>
          </cell>
          <cell r="H3924" t="str">
            <v>Inverted Diesel Unit w/Imperial Filter Pack/500-C</v>
          </cell>
        </row>
        <row r="3925">
          <cell r="G3925" t="str">
            <v>O/T</v>
          </cell>
          <cell r="H3925" t="str">
            <v>Outlet Tube &amp; Nut Assembly w/Bleeder/500-C (Inverted Units)</v>
          </cell>
        </row>
        <row r="3926">
          <cell r="G3926" t="str">
            <v>750</v>
          </cell>
          <cell r="H3926" t="str">
            <v>LF750 refining pak-synthetic fluid or solvent filtration</v>
          </cell>
        </row>
        <row r="3927">
          <cell r="G3927" t="str">
            <v>200</v>
          </cell>
          <cell r="H3927" t="str">
            <v>Microcell w/Rice Hulls/200S</v>
          </cell>
        </row>
        <row r="3928">
          <cell r="G3928" t="str">
            <v>750CT</v>
          </cell>
          <cell r="H3928" t="str">
            <v>HRZNTAL 750CT</v>
          </cell>
        </row>
        <row r="3929">
          <cell r="G3929" t="str">
            <v>750CT</v>
          </cell>
          <cell r="H3929" t="str">
            <v>750CT Upright Filter Assembly with 2122 Element</v>
          </cell>
        </row>
        <row r="3930">
          <cell r="G3930" t="str">
            <v>500CT</v>
          </cell>
          <cell r="H3930" t="str">
            <v>500T DRN/PLUG</v>
          </cell>
        </row>
        <row r="3931">
          <cell r="G3931" t="str">
            <v>750CT</v>
          </cell>
          <cell r="H3931" t="str">
            <v>750T DEISEL U</v>
          </cell>
        </row>
        <row r="3932">
          <cell r="G3932" t="str">
            <v>500CT</v>
          </cell>
          <cell r="H3932" t="str">
            <v>500CT Filter Assembly upright mount with 2095 Element</v>
          </cell>
        </row>
        <row r="3933">
          <cell r="G3933" t="str">
            <v>750CT</v>
          </cell>
          <cell r="H3933" t="str">
            <v>750CT Upright Filter Assembly with 2122 Element</v>
          </cell>
        </row>
        <row r="3934">
          <cell r="G3934" t="str">
            <v>3392</v>
          </cell>
          <cell r="H3934" t="str">
            <v>Gasket, Flat, Retangular/Replaces Cummins 132484</v>
          </cell>
        </row>
        <row r="3935">
          <cell r="G3935" t="str">
            <v>500CT</v>
          </cell>
          <cell r="H3935" t="str">
            <v>500CT Filter Assembly upright mount with 2095 Element</v>
          </cell>
        </row>
        <row r="3936">
          <cell r="G3936" t="str">
            <v>750CT</v>
          </cell>
          <cell r="H3936" t="str">
            <v>750CT Upright Filter Assembly with 2122 Element</v>
          </cell>
        </row>
        <row r="3937">
          <cell r="G3937">
            <v>3654</v>
          </cell>
          <cell r="H3937" t="str">
            <v>Cover Gasket for 3652 Element Filter</v>
          </cell>
        </row>
        <row r="3938">
          <cell r="G3938" t="str">
            <v>750CT</v>
          </cell>
          <cell r="H3938" t="str">
            <v>750T INVERT U</v>
          </cell>
        </row>
        <row r="3939">
          <cell r="G3939" t="str">
            <v>3692</v>
          </cell>
          <cell r="H3939" t="str">
            <v>Cover Gasket Replaces Cummins 145641, For Cummins 500 &amp; 750 Units</v>
          </cell>
        </row>
        <row r="3940">
          <cell r="G3940" t="str">
            <v>750CT</v>
          </cell>
          <cell r="H3940" t="str">
            <v>750T DIESEL</v>
          </cell>
        </row>
        <row r="3941">
          <cell r="G3941" t="str">
            <v>272</v>
          </cell>
          <cell r="H3941" t="str">
            <v>Microcell Filter Hydropack/272C Filter</v>
          </cell>
        </row>
        <row r="3942">
          <cell r="G3942" t="str">
            <v>HSG</v>
          </cell>
          <cell r="H3942" t="str">
            <v>Housing w/Retaining Ring Only, Black/500-C</v>
          </cell>
        </row>
        <row r="3943">
          <cell r="G3943" t="str">
            <v>3773</v>
          </cell>
          <cell r="H3943" t="str">
            <v>Gasket, Replaces Cummins 128801</v>
          </cell>
        </row>
        <row r="3944">
          <cell r="G3944" t="str">
            <v>3776</v>
          </cell>
          <cell r="H3944" t="str">
            <v>O-Ring, Replaces Cummins 116024</v>
          </cell>
        </row>
        <row r="3945">
          <cell r="G3945" t="str">
            <v>750</v>
          </cell>
          <cell r="H3945" t="str">
            <v xml:space="preserve">Refining Hydropack/750C, CT Filter </v>
          </cell>
        </row>
        <row r="3946">
          <cell r="G3946" t="str">
            <v>3795</v>
          </cell>
          <cell r="H3946" t="str">
            <v>Gasket, Square Section Ring, Replaces Cummins 153528</v>
          </cell>
        </row>
        <row r="3947">
          <cell r="G3947" t="str">
            <v>CENTER</v>
          </cell>
          <cell r="H3947" t="str">
            <v>Center Post/F-170, F-170-2, F-170-W</v>
          </cell>
        </row>
        <row r="3948">
          <cell r="G3948" t="str">
            <v>155/170</v>
          </cell>
          <cell r="H3948" t="str">
            <v>Luber-finer F170 diesel fuel filter refining pak</v>
          </cell>
        </row>
        <row r="3949">
          <cell r="G3949" t="str">
            <v>500</v>
          </cell>
          <cell r="H3949" t="str">
            <v>LF500 Microcell Same applications as 2763</v>
          </cell>
        </row>
        <row r="3950">
          <cell r="G3950" t="str">
            <v>3861</v>
          </cell>
          <cell r="H3950" t="str">
            <v>Gasket, Replaces Cummins 158019</v>
          </cell>
        </row>
        <row r="3951">
          <cell r="G3951" t="str">
            <v>750C</v>
          </cell>
          <cell r="H3951" t="str">
            <v>750C W/OUT PK</v>
          </cell>
        </row>
        <row r="3952">
          <cell r="G3952" t="str">
            <v>3907</v>
          </cell>
          <cell r="H3952" t="str">
            <v>Gasket, Replaces Cummins 169802</v>
          </cell>
        </row>
        <row r="3953">
          <cell r="G3953" t="str">
            <v>3912</v>
          </cell>
          <cell r="H3953" t="str">
            <v>Gasket, Replaces Cummins 110108</v>
          </cell>
        </row>
        <row r="3954">
          <cell r="G3954" t="str">
            <v>3915</v>
          </cell>
          <cell r="H3954" t="str">
            <v>Gasket, Replaces Cummins 163330</v>
          </cell>
        </row>
        <row r="3955">
          <cell r="G3955" t="str">
            <v>750C</v>
          </cell>
          <cell r="H3955" t="str">
            <v>750C DIESEL</v>
          </cell>
        </row>
        <row r="3956">
          <cell r="G3956" t="str">
            <v>750CT</v>
          </cell>
          <cell r="H3956" t="str">
            <v>Complete gray filter unit with with 1 hole lid , 1</v>
          </cell>
        </row>
        <row r="3957">
          <cell r="G3957" t="str">
            <v>750CT</v>
          </cell>
          <cell r="H3957" t="str">
            <v>750T DIESEL</v>
          </cell>
        </row>
        <row r="3958">
          <cell r="G3958" t="str">
            <v>750</v>
          </cell>
          <cell r="H3958" t="str">
            <v>Cover w/3 Plug Holes for Horizontal  Mount, Black/750-C</v>
          </cell>
        </row>
        <row r="3959">
          <cell r="G3959" t="str">
            <v>750CT</v>
          </cell>
          <cell r="H3959" t="str">
            <v>750T DIESEL</v>
          </cell>
        </row>
        <row r="3960">
          <cell r="G3960" t="str">
            <v>HOUSING</v>
          </cell>
          <cell r="H3960" t="str">
            <v>Housing Only/F-170, F-170-2</v>
          </cell>
        </row>
        <row r="3961">
          <cell r="G3961" t="str">
            <v>PTD</v>
          </cell>
          <cell r="H3961" t="str">
            <v>Housing Assembly/F-170, F-170-2</v>
          </cell>
        </row>
        <row r="3962">
          <cell r="G3962" t="str">
            <v>750</v>
          </cell>
          <cell r="H3962" t="str">
            <v>LF750 refining pak filter for H20 base hydraulic fluids</v>
          </cell>
        </row>
        <row r="3963">
          <cell r="G3963" t="str">
            <v>PKGD</v>
          </cell>
          <cell r="H3963" t="str">
            <v>Diesel Unit w/Wall Brackets w/Imperial Pak/750-2C</v>
          </cell>
        </row>
        <row r="3964">
          <cell r="G3964" t="str">
            <v>PKGD</v>
          </cell>
          <cell r="H3964" t="str">
            <v>Diesel Unit w/Wall Brakets w/Imperial Pak/750-3C</v>
          </cell>
        </row>
        <row r="3965">
          <cell r="G3965" t="str">
            <v>750CT</v>
          </cell>
          <cell r="H3965" t="str">
            <v>750T FLTPAK</v>
          </cell>
        </row>
        <row r="3966">
          <cell r="G3966" t="str">
            <v>F170</v>
          </cell>
          <cell r="H3966" t="str">
            <v>Head Casting (Cast Iron) F-170</v>
          </cell>
        </row>
        <row r="3967">
          <cell r="G3967" t="str">
            <v>4041</v>
          </cell>
          <cell r="H3967" t="str">
            <v>Head Gasket, Buna-N/F-170, F170-2, F-170-W</v>
          </cell>
        </row>
        <row r="3968">
          <cell r="G3968" t="str">
            <v>750CT</v>
          </cell>
          <cell r="H3968" t="str">
            <v>750T W/OUT PK</v>
          </cell>
        </row>
        <row r="3969">
          <cell r="G3969" t="str">
            <v>750-C</v>
          </cell>
          <cell r="H3969" t="str">
            <v>750C REFN UNT</v>
          </cell>
        </row>
        <row r="3970">
          <cell r="G3970" t="str">
            <v>4167</v>
          </cell>
          <cell r="H3970" t="str">
            <v>Head Screw Washer, Steel/F-170, F-170-2, F-170-W</v>
          </cell>
        </row>
        <row r="3971">
          <cell r="G3971" t="str">
            <v>4168</v>
          </cell>
          <cell r="H3971" t="str">
            <v>Head Screw/F-170, F-1720-2, F-170-W</v>
          </cell>
        </row>
        <row r="3972">
          <cell r="G3972" t="str">
            <v>PACK</v>
          </cell>
          <cell r="H3972" t="str">
            <v>Spring/F-170, F-170-2, F-170-W</v>
          </cell>
        </row>
        <row r="3973">
          <cell r="G3973" t="str">
            <v>PACK</v>
          </cell>
          <cell r="H3973" t="str">
            <v>Spring Support Wacher, Steel/F-170, F-170-2, F-170-W</v>
          </cell>
        </row>
        <row r="3974">
          <cell r="G3974" t="str">
            <v>4190</v>
          </cell>
          <cell r="H3974" t="str">
            <v>Head Screw Seal, O-Ring/F-170, F-170-2, F-170-W</v>
          </cell>
        </row>
        <row r="3975">
          <cell r="G3975" t="str">
            <v>F170</v>
          </cell>
          <cell r="H3975" t="str">
            <v>Double Head Casting (Cast Iron)/F-170-2</v>
          </cell>
        </row>
        <row r="3976">
          <cell r="G3976">
            <v>970</v>
          </cell>
          <cell r="H3976" t="str">
            <v>Cover/970-C</v>
          </cell>
        </row>
        <row r="3977">
          <cell r="G3977" t="str">
            <v>4277</v>
          </cell>
          <cell r="H3977" t="str">
            <v>Drain Cock/F-170, F-170-W</v>
          </cell>
        </row>
        <row r="3978">
          <cell r="G3978" t="str">
            <v>HOLD</v>
          </cell>
          <cell r="H3978" t="str">
            <v>Hold Down Plate/970-C</v>
          </cell>
        </row>
        <row r="3979">
          <cell r="G3979">
            <v>970</v>
          </cell>
          <cell r="H3979" t="str">
            <v>Lower housing Assembly/970-C</v>
          </cell>
        </row>
        <row r="3980">
          <cell r="G3980" t="str">
            <v>HOLD</v>
          </cell>
          <cell r="H3980" t="str">
            <v>Hold Down Assembly/970-C</v>
          </cell>
        </row>
        <row r="3981">
          <cell r="G3981" t="str">
            <v>970C</v>
          </cell>
          <cell r="H3981" t="str">
            <v>Industrial Full-flow Unit w/LP970-25 Element/970-C Filter</v>
          </cell>
        </row>
        <row r="3982">
          <cell r="G3982" t="str">
            <v>312510-1</v>
          </cell>
          <cell r="H3982" t="str">
            <v>312510-1 TANK</v>
          </cell>
        </row>
        <row r="3983">
          <cell r="G3983" t="str">
            <v>4330</v>
          </cell>
          <cell r="H3983" t="str">
            <v>Oil Return Fitting/Installation Item</v>
          </cell>
        </row>
        <row r="3984">
          <cell r="G3984" t="str">
            <v>750CT</v>
          </cell>
          <cell r="H3984" t="str">
            <v>750T HORZ D U</v>
          </cell>
        </row>
        <row r="3985">
          <cell r="G3985" t="str">
            <v>500CT</v>
          </cell>
          <cell r="H3985" t="str">
            <v>500T DIESEL U</v>
          </cell>
        </row>
        <row r="3986">
          <cell r="G3986" t="str">
            <v>PKGD</v>
          </cell>
          <cell r="H3986" t="str">
            <v>750 GRAY UNIT</v>
          </cell>
        </row>
        <row r="3987">
          <cell r="G3987" t="str">
            <v>500CT</v>
          </cell>
          <cell r="H3987" t="str">
            <v>500CT Filter Assembly upright mount with 2095 Element</v>
          </cell>
        </row>
        <row r="3988">
          <cell r="G3988" t="str">
            <v>750CT</v>
          </cell>
          <cell r="H3988" t="str">
            <v>750T 2122 EL</v>
          </cell>
        </row>
        <row r="3989">
          <cell r="G3989" t="str">
            <v>750CT</v>
          </cell>
          <cell r="H3989" t="str">
            <v>750T GRAY D</v>
          </cell>
        </row>
        <row r="3990">
          <cell r="G3990" t="str">
            <v>PKGD</v>
          </cell>
          <cell r="H3990" t="str">
            <v>PKG UN &amp; PACK</v>
          </cell>
        </row>
        <row r="3991">
          <cell r="G3991" t="str">
            <v>PKGD</v>
          </cell>
          <cell r="H3991" t="str">
            <v>PKG UN &amp; PACK</v>
          </cell>
        </row>
        <row r="3992">
          <cell r="G3992" t="str">
            <v>VENT</v>
          </cell>
          <cell r="H3992" t="str">
            <v>Vent Plug/F-170-W</v>
          </cell>
        </row>
        <row r="3993">
          <cell r="G3993" t="str">
            <v>F170W</v>
          </cell>
          <cell r="H3993" t="str">
            <v>Housing Only/F-170-W</v>
          </cell>
        </row>
        <row r="3994">
          <cell r="G3994">
            <v>4783</v>
          </cell>
          <cell r="H3994" t="str">
            <v>Pack Support Plate/500-C, 750-C</v>
          </cell>
        </row>
        <row r="3995">
          <cell r="G3995" t="str">
            <v>272</v>
          </cell>
          <cell r="H3995" t="str">
            <v>272 RF HYDRO Filter</v>
          </cell>
        </row>
        <row r="3996">
          <cell r="G3996" t="str">
            <v>PKGD</v>
          </cell>
          <cell r="H3996" t="str">
            <v>750C NO CVALV</v>
          </cell>
        </row>
        <row r="3997">
          <cell r="G3997" t="str">
            <v>F170W</v>
          </cell>
          <cell r="H3997" t="str">
            <v>Housing Assembly/F-170-W</v>
          </cell>
        </row>
        <row r="3998">
          <cell r="G3998" t="str">
            <v>DRAIN</v>
          </cell>
          <cell r="H3998" t="str">
            <v>DRAIN PLUG</v>
          </cell>
        </row>
        <row r="3999">
          <cell r="G3999" t="str">
            <v>PKGD</v>
          </cell>
          <cell r="H3999" t="str">
            <v>PKG U PK &amp; BS</v>
          </cell>
        </row>
        <row r="4000">
          <cell r="G4000" t="str">
            <v>750-C</v>
          </cell>
          <cell r="H4000" t="str">
            <v>750C UNIT</v>
          </cell>
        </row>
        <row r="4001">
          <cell r="G4001" t="str">
            <v>2438857-1</v>
          </cell>
          <cell r="H4001" t="str">
            <v>750C REFINING</v>
          </cell>
        </row>
        <row r="4002">
          <cell r="G4002" t="str">
            <v>PKGD</v>
          </cell>
          <cell r="H4002" t="str">
            <v>PKG UNT &amp; PAC</v>
          </cell>
        </row>
        <row r="4003">
          <cell r="G4003" t="str">
            <v>750CT</v>
          </cell>
          <cell r="H4003" t="str">
            <v>750T DIESEL</v>
          </cell>
        </row>
        <row r="4004">
          <cell r="G4004" t="str">
            <v>750-C</v>
          </cell>
          <cell r="H4004" t="str">
            <v>750C W/OUT PK</v>
          </cell>
        </row>
        <row r="4005">
          <cell r="G4005" t="str">
            <v>750CT</v>
          </cell>
          <cell r="H4005" t="str">
            <v>750CT Upright Filter Assembly with 2122 Element</v>
          </cell>
        </row>
        <row r="4006">
          <cell r="G4006" t="str">
            <v>750CT</v>
          </cell>
          <cell r="H4006" t="str">
            <v>750T GRAY UNT</v>
          </cell>
        </row>
        <row r="4007">
          <cell r="G4007" t="str">
            <v>750</v>
          </cell>
          <cell r="H4007" t="str">
            <v>750 IMP DISL</v>
          </cell>
        </row>
        <row r="4008">
          <cell r="G4008" t="str">
            <v>750CT</v>
          </cell>
          <cell r="H4008" t="str">
            <v>Diesel Unit Universal Mount 750-CT</v>
          </cell>
        </row>
        <row r="4009">
          <cell r="G4009" t="str">
            <v>5539</v>
          </cell>
          <cell r="H4009" t="str">
            <v>5539 GASKET</v>
          </cell>
        </row>
        <row r="4010">
          <cell r="G4010" t="str">
            <v>DRILLED</v>
          </cell>
          <cell r="H4010" t="str">
            <v>Stud w/Thermostat/500-CT, 750-CT</v>
          </cell>
        </row>
        <row r="4011">
          <cell r="G4011" t="str">
            <v>5555</v>
          </cell>
          <cell r="H4011" t="str">
            <v>Pack Hold-down Assembly w/Thermostat/500-CT, 750-CT</v>
          </cell>
        </row>
        <row r="4012">
          <cell r="G4012" t="str">
            <v>THERMO</v>
          </cell>
          <cell r="H4012" t="str">
            <v>Pack Hold-down Assembly w/Thermostat/500-CT, 750-CT, (Inverted Units)</v>
          </cell>
        </row>
        <row r="4013">
          <cell r="G4013" t="str">
            <v>PACK</v>
          </cell>
          <cell r="H4013" t="str">
            <v>Pack Support Cup/500-CT, 750-CT (Inverted Units)</v>
          </cell>
        </row>
        <row r="4014">
          <cell r="G4014" t="str">
            <v>O/T</v>
          </cell>
          <cell r="H4014" t="str">
            <v>Outlet Tube and Nut Assembly (Std.)/500-CT</v>
          </cell>
        </row>
        <row r="4015">
          <cell r="G4015" t="str">
            <v>O/T</v>
          </cell>
          <cell r="H4015" t="str">
            <v>Outlet Tube and Nut Assembly (Std.)/750-CT</v>
          </cell>
        </row>
        <row r="4016">
          <cell r="G4016" t="str">
            <v>OUTLT</v>
          </cell>
          <cell r="H4016" t="str">
            <v>Outlet Tube and Nut Assembly w/Bleeder/750-CT (Inverted Units)</v>
          </cell>
        </row>
        <row r="4017">
          <cell r="G4017" t="str">
            <v>O/T</v>
          </cell>
          <cell r="H4017" t="str">
            <v>Outlet Tube and Nut Assembly w/Bleeder/500-CT (Inverted Units)</v>
          </cell>
        </row>
        <row r="4018">
          <cell r="G4018" t="str">
            <v>LABEL/DECAL</v>
          </cell>
          <cell r="H4018" t="str">
            <v>THERMO LABEL</v>
          </cell>
        </row>
        <row r="4019">
          <cell r="G4019" t="str">
            <v>PKGD</v>
          </cell>
          <cell r="H4019" t="str">
            <v>PKG PAC &amp; BSE</v>
          </cell>
        </row>
        <row r="4020">
          <cell r="G4020" t="str">
            <v>750</v>
          </cell>
          <cell r="H4020" t="str">
            <v>750 GRAY UNIT</v>
          </cell>
        </row>
        <row r="4021">
          <cell r="G4021" t="str">
            <v>750CT</v>
          </cell>
          <cell r="H4021" t="str">
            <v>750CT Upright Filter Assembly with 2122 Element</v>
          </cell>
        </row>
        <row r="4022">
          <cell r="G4022" t="str">
            <v>750CT</v>
          </cell>
          <cell r="H4022" t="str">
            <v>750CT Filter assembly with 2122 Element</v>
          </cell>
        </row>
        <row r="4023">
          <cell r="G4023" t="str">
            <v>18864</v>
          </cell>
          <cell r="H4023" t="str">
            <v>Inlet Check-Valve Assembly Complete (Opt.#4 Orifice)/500-C, CT, 750-C, CT</v>
          </cell>
        </row>
        <row r="4024">
          <cell r="G4024">
            <v>18865</v>
          </cell>
          <cell r="H4024" t="str">
            <v>Inlet Check-Valve Assembly Complete (Opt.#5 Orifice)/500-C, CT, 750-C, CT</v>
          </cell>
        </row>
        <row r="4025">
          <cell r="G4025">
            <v>18866</v>
          </cell>
          <cell r="H4025" t="str">
            <v>Inlet Check-Valve Assembly Complete (Opt.#6 Orifice)/500-C, CT, 750-C, CT</v>
          </cell>
        </row>
        <row r="4026">
          <cell r="G4026" t="str">
            <v>18868</v>
          </cell>
          <cell r="H4026" t="str">
            <v>Inlet Check-Valve Assembly Complete (Std.#8 Orifice)/500-C, CT, 750-C, CT</v>
          </cell>
        </row>
        <row r="4027">
          <cell r="G4027" t="str">
            <v>20362</v>
          </cell>
          <cell r="H4027" t="str">
            <v>Boot gasket for LAF5069 &amp; LAF1818.</v>
          </cell>
        </row>
        <row r="4028">
          <cell r="G4028">
            <v>500</v>
          </cell>
          <cell r="H4028" t="str">
            <v>Luber-finer 500 Series, Imperial II (single element filter) detergent type lube oil. (4 pack case) Filter</v>
          </cell>
        </row>
        <row r="4029">
          <cell r="G4029">
            <v>21244</v>
          </cell>
          <cell r="H4029" t="str">
            <v>Hold Down Assembly w/#4 Orifice/500-C</v>
          </cell>
        </row>
        <row r="4030">
          <cell r="G4030">
            <v>21246</v>
          </cell>
          <cell r="H4030" t="str">
            <v>Hold Down Assembly w/#6 Orifice/500-C</v>
          </cell>
        </row>
        <row r="4031">
          <cell r="G4031">
            <v>21594</v>
          </cell>
          <cell r="H4031" t="str">
            <v>Orifice Plug 750C</v>
          </cell>
        </row>
        <row r="4032">
          <cell r="G4032">
            <v>21595</v>
          </cell>
          <cell r="H4032" t="str">
            <v>Orifice Plug 750C</v>
          </cell>
        </row>
        <row r="4033">
          <cell r="G4033">
            <v>21596</v>
          </cell>
          <cell r="H4033" t="str">
            <v>Orifice Plug, .101" Diameter/500-C, 750-C</v>
          </cell>
        </row>
        <row r="4034">
          <cell r="G4034" t="str">
            <v>OUTLET</v>
          </cell>
          <cell r="H4034" t="str">
            <v>OUTLET VALVE ASSY</v>
          </cell>
        </row>
        <row r="4035">
          <cell r="G4035" t="str">
            <v>INLET</v>
          </cell>
          <cell r="H4035" t="str">
            <v>INLET VALVE ASSY</v>
          </cell>
        </row>
        <row r="4036">
          <cell r="G4036" t="str">
            <v>32576</v>
          </cell>
          <cell r="H4036" t="str">
            <v>Pack Hold Down Assembly w/#6 Orifice/500-C (Inverted Units)</v>
          </cell>
        </row>
        <row r="4037">
          <cell r="G4037" t="str">
            <v>200</v>
          </cell>
          <cell r="H4037" t="str">
            <v>Microcell w/Rice Hulls/200S</v>
          </cell>
        </row>
        <row r="4038">
          <cell r="G4038" t="str">
            <v>272</v>
          </cell>
          <cell r="H4038" t="str">
            <v>Microcell Hydropack/272C Filter</v>
          </cell>
        </row>
        <row r="4039">
          <cell r="G4039" t="str">
            <v>500</v>
          </cell>
          <cell r="H4039" t="str">
            <v>LF500 Microcell-Same application as 2764</v>
          </cell>
        </row>
        <row r="4040">
          <cell r="G4040" t="str">
            <v>750CT</v>
          </cell>
          <cell r="H4040" t="str">
            <v>750T GRAY UNT</v>
          </cell>
        </row>
        <row r="4041">
          <cell r="G4041" t="str">
            <v>BAGGED</v>
          </cell>
          <cell r="H4041" t="str">
            <v>No. 5 Orifice Opening size is .078; Flow rate is .8 GPM</v>
          </cell>
        </row>
        <row r="4042">
          <cell r="G4042" t="str">
            <v>BAGGED</v>
          </cell>
          <cell r="H4042" t="str">
            <v>No. 6 Orifice Opening size is .100; Flow rate is 1.5 GPM</v>
          </cell>
        </row>
        <row r="4043">
          <cell r="G4043" t="str">
            <v>BAGGED</v>
          </cell>
          <cell r="H4043" t="str">
            <v>No. 8 Orifice Opening size is .125; Flow rate is 2 GPM</v>
          </cell>
        </row>
        <row r="4044">
          <cell r="G4044">
            <v>130610</v>
          </cell>
          <cell r="H4044" t="str">
            <v>ORIFICE 10/64</v>
          </cell>
        </row>
        <row r="4045">
          <cell r="G4045">
            <v>130612</v>
          </cell>
          <cell r="H4045" t="str">
            <v>ORIFICE 12/64</v>
          </cell>
        </row>
        <row r="4046">
          <cell r="G4046">
            <v>215993</v>
          </cell>
          <cell r="H4046" t="str">
            <v>ORIFICE .093</v>
          </cell>
        </row>
        <row r="4047">
          <cell r="G4047" t="str">
            <v>GASKET</v>
          </cell>
          <cell r="H4047" t="str">
            <v>GASKET 26-13863</v>
          </cell>
        </row>
        <row r="4048">
          <cell r="G4048" t="str">
            <v>GASKET</v>
          </cell>
          <cell r="H4048" t="str">
            <v>GASKET 326-21606</v>
          </cell>
        </row>
        <row r="4049">
          <cell r="G4049">
            <v>500</v>
          </cell>
          <cell r="H4049" t="str">
            <v xml:space="preserve">500 DEHYD REF FILTER PACK     </v>
          </cell>
        </row>
        <row r="4050">
          <cell r="G4050" t="str">
            <v>750-C</v>
          </cell>
          <cell r="H4050" t="str">
            <v>Refining Unit Filter For Fuel and Hydraulic Filtration (Unpainted)</v>
          </cell>
        </row>
        <row r="4051">
          <cell r="G4051" t="str">
            <v>750</v>
          </cell>
          <cell r="H4051" t="str">
            <v>Refining Filter Pack</v>
          </cell>
        </row>
        <row r="4052">
          <cell r="G4052" t="str">
            <v>750</v>
          </cell>
          <cell r="H4052" t="str">
            <v>HYDROPACK 100 Filter</v>
          </cell>
        </row>
        <row r="4053">
          <cell r="G4053" t="str">
            <v>3795B</v>
          </cell>
          <cell r="H4053" t="str">
            <v>Gasket</v>
          </cell>
        </row>
        <row r="4054">
          <cell r="G4054" t="str">
            <v>750CT</v>
          </cell>
          <cell r="H4054" t="str">
            <v>Diesel Unit Universal Mount 750-CT</v>
          </cell>
        </row>
        <row r="4055">
          <cell r="G4055" t="str">
            <v>3967B</v>
          </cell>
          <cell r="H4055" t="str">
            <v>Gasket, Cummins Applied</v>
          </cell>
        </row>
        <row r="4056">
          <cell r="G4056" t="str">
            <v>55-13104</v>
          </cell>
          <cell r="H4056" t="str">
            <v>VLVE/CAP ASSY</v>
          </cell>
        </row>
        <row r="4057">
          <cell r="G4057" t="str">
            <v>55-13106</v>
          </cell>
          <cell r="H4057" t="str">
            <v>VLVE/CAP ASSY</v>
          </cell>
        </row>
        <row r="4058">
          <cell r="G4058" t="str">
            <v>FLOOR</v>
          </cell>
          <cell r="H4058" t="str">
            <v>FLOOR BASE</v>
          </cell>
        </row>
        <row r="4059">
          <cell r="G4059" t="str">
            <v>AF103</v>
          </cell>
          <cell r="H4059" t="str">
            <v>Air Filter</v>
          </cell>
        </row>
        <row r="4060">
          <cell r="G4060" t="str">
            <v>AF1054</v>
          </cell>
          <cell r="H4060" t="str">
            <v>Flexible Panel Air Filter</v>
          </cell>
        </row>
        <row r="4061">
          <cell r="G4061" t="str">
            <v>AF11</v>
          </cell>
          <cell r="H4061" t="str">
            <v>Air Filter</v>
          </cell>
        </row>
        <row r="4062">
          <cell r="G4062" t="str">
            <v>AF13</v>
          </cell>
          <cell r="H4062" t="str">
            <v>Round Air Filter</v>
          </cell>
        </row>
        <row r="4063">
          <cell r="G4063" t="str">
            <v>AF130</v>
          </cell>
          <cell r="H4063" t="str">
            <v>Air Filter</v>
          </cell>
        </row>
        <row r="4064">
          <cell r="G4064" t="str">
            <v>AF131</v>
          </cell>
          <cell r="H4064" t="str">
            <v>Air Filter</v>
          </cell>
        </row>
        <row r="4065">
          <cell r="G4065" t="str">
            <v>AF168</v>
          </cell>
          <cell r="H4065" t="str">
            <v>Air Filter</v>
          </cell>
        </row>
        <row r="4066">
          <cell r="G4066" t="str">
            <v>AF17</v>
          </cell>
          <cell r="H4066" t="str">
            <v>Air Filter</v>
          </cell>
        </row>
        <row r="4067">
          <cell r="G4067" t="str">
            <v>AF1795</v>
          </cell>
          <cell r="H4067" t="str">
            <v>Air Filter</v>
          </cell>
        </row>
        <row r="4068">
          <cell r="G4068" t="str">
            <v>AF1843</v>
          </cell>
          <cell r="H4068" t="str">
            <v>Air Filter</v>
          </cell>
        </row>
        <row r="4069">
          <cell r="G4069" t="str">
            <v>AF185</v>
          </cell>
          <cell r="H4069" t="str">
            <v>Air Filter</v>
          </cell>
        </row>
        <row r="4070">
          <cell r="G4070" t="str">
            <v>AF186</v>
          </cell>
          <cell r="H4070" t="str">
            <v>Round Air Filter</v>
          </cell>
        </row>
        <row r="4071">
          <cell r="G4071" t="str">
            <v>AF205</v>
          </cell>
          <cell r="H4071" t="str">
            <v>Air Filter</v>
          </cell>
        </row>
        <row r="4072">
          <cell r="G4072" t="str">
            <v>AF21</v>
          </cell>
          <cell r="H4072" t="str">
            <v>Foam Pad</v>
          </cell>
        </row>
        <row r="4073">
          <cell r="G4073" t="str">
            <v>AF22039</v>
          </cell>
          <cell r="H4073" t="str">
            <v>Air Filter</v>
          </cell>
        </row>
        <row r="4074">
          <cell r="G4074" t="str">
            <v>AF22082</v>
          </cell>
          <cell r="H4074" t="str">
            <v>Air Filter</v>
          </cell>
        </row>
        <row r="4075">
          <cell r="G4075" t="str">
            <v>AF228</v>
          </cell>
          <cell r="H4075" t="str">
            <v>Air Filter</v>
          </cell>
        </row>
        <row r="4076">
          <cell r="G4076" t="str">
            <v>AF232</v>
          </cell>
          <cell r="H4076" t="str">
            <v>Air Filter</v>
          </cell>
        </row>
        <row r="4077">
          <cell r="G4077" t="str">
            <v>AF24</v>
          </cell>
          <cell r="H4077" t="str">
            <v>Air Filter</v>
          </cell>
        </row>
        <row r="4078">
          <cell r="G4078" t="str">
            <v>AF243</v>
          </cell>
          <cell r="H4078" t="str">
            <v>Round Air Filter</v>
          </cell>
        </row>
        <row r="4079">
          <cell r="G4079" t="str">
            <v>AF260</v>
          </cell>
          <cell r="H4079" t="str">
            <v>Air Filter</v>
          </cell>
        </row>
        <row r="4080">
          <cell r="G4080" t="str">
            <v>AF27</v>
          </cell>
          <cell r="H4080" t="str">
            <v>Air Filter</v>
          </cell>
        </row>
        <row r="4081">
          <cell r="G4081" t="str">
            <v>AF278</v>
          </cell>
          <cell r="H4081" t="str">
            <v>Air Filter</v>
          </cell>
        </row>
        <row r="4082">
          <cell r="G4082" t="str">
            <v>AF28</v>
          </cell>
          <cell r="H4082" t="str">
            <v>Air Filter</v>
          </cell>
        </row>
        <row r="4083">
          <cell r="G4083" t="str">
            <v>AF295</v>
          </cell>
          <cell r="H4083" t="str">
            <v>Air Filter</v>
          </cell>
        </row>
        <row r="4084">
          <cell r="G4084" t="str">
            <v>AF30</v>
          </cell>
          <cell r="H4084" t="str">
            <v>Air Filter</v>
          </cell>
        </row>
        <row r="4085">
          <cell r="G4085" t="str">
            <v>AF311</v>
          </cell>
          <cell r="H4085" t="str">
            <v>Air Filter</v>
          </cell>
        </row>
        <row r="4086">
          <cell r="G4086" t="str">
            <v>AF318</v>
          </cell>
          <cell r="H4086" t="str">
            <v>Air Filter</v>
          </cell>
        </row>
        <row r="4087">
          <cell r="G4087" t="str">
            <v>AF321</v>
          </cell>
          <cell r="H4087" t="str">
            <v>Air Filter</v>
          </cell>
        </row>
        <row r="4088">
          <cell r="G4088" t="str">
            <v>AF354</v>
          </cell>
          <cell r="H4088" t="str">
            <v>Air Filter</v>
          </cell>
        </row>
        <row r="4089">
          <cell r="G4089" t="str">
            <v>AF3629</v>
          </cell>
          <cell r="H4089" t="str">
            <v>Air Filter</v>
          </cell>
        </row>
        <row r="4090">
          <cell r="G4090" t="str">
            <v>AF375</v>
          </cell>
          <cell r="H4090" t="str">
            <v>Air Filter</v>
          </cell>
        </row>
        <row r="4091">
          <cell r="G4091" t="str">
            <v>AF381</v>
          </cell>
          <cell r="H4091" t="str">
            <v>Air Filter</v>
          </cell>
        </row>
        <row r="4092">
          <cell r="G4092" t="str">
            <v>AF387</v>
          </cell>
          <cell r="H4092" t="str">
            <v>Panel Air Filter</v>
          </cell>
        </row>
        <row r="4093">
          <cell r="G4093" t="str">
            <v>AF3888</v>
          </cell>
          <cell r="H4093" t="str">
            <v>Air Filter</v>
          </cell>
        </row>
        <row r="4094">
          <cell r="G4094" t="str">
            <v>AF3900</v>
          </cell>
          <cell r="H4094" t="str">
            <v>Air Filter</v>
          </cell>
        </row>
        <row r="4095">
          <cell r="G4095" t="str">
            <v>AF3926</v>
          </cell>
          <cell r="H4095" t="str">
            <v>Special Configuration Air Filter</v>
          </cell>
        </row>
        <row r="4096">
          <cell r="G4096" t="str">
            <v>AF3932</v>
          </cell>
          <cell r="H4096" t="str">
            <v>Radial Seal Air Filter</v>
          </cell>
        </row>
        <row r="4097">
          <cell r="G4097" t="str">
            <v>AF394</v>
          </cell>
          <cell r="H4097" t="str">
            <v>Air Filter</v>
          </cell>
        </row>
        <row r="4098">
          <cell r="G4098" t="str">
            <v>AF397</v>
          </cell>
          <cell r="H4098" t="str">
            <v>Air Filter</v>
          </cell>
        </row>
        <row r="4099">
          <cell r="G4099" t="str">
            <v>AF3976</v>
          </cell>
          <cell r="H4099" t="str">
            <v>Air Filter</v>
          </cell>
        </row>
        <row r="4100">
          <cell r="G4100" t="str">
            <v>AF399</v>
          </cell>
          <cell r="H4100" t="str">
            <v>Flexible Panel Air Filter</v>
          </cell>
        </row>
        <row r="4101">
          <cell r="G4101" t="str">
            <v>AF408</v>
          </cell>
          <cell r="H4101" t="str">
            <v>Air Filter</v>
          </cell>
        </row>
        <row r="4102">
          <cell r="G4102" t="str">
            <v>AF417</v>
          </cell>
          <cell r="H4102" t="str">
            <v>Air Filter</v>
          </cell>
        </row>
        <row r="4103">
          <cell r="G4103" t="str">
            <v>AF423</v>
          </cell>
          <cell r="H4103" t="str">
            <v>Air Filter</v>
          </cell>
        </row>
        <row r="4104">
          <cell r="G4104" t="str">
            <v>AF4518</v>
          </cell>
          <cell r="H4104" t="str">
            <v>Air Filter</v>
          </cell>
        </row>
        <row r="4105">
          <cell r="G4105" t="str">
            <v>AF4519</v>
          </cell>
          <cell r="H4105" t="str">
            <v>Air Filter</v>
          </cell>
        </row>
        <row r="4106">
          <cell r="G4106" t="str">
            <v>AF460</v>
          </cell>
          <cell r="H4106" t="str">
            <v>Air Filter</v>
          </cell>
        </row>
        <row r="4107">
          <cell r="G4107" t="str">
            <v>AF5039</v>
          </cell>
          <cell r="H4107" t="str">
            <v>Round Panel Air Filter</v>
          </cell>
        </row>
        <row r="4108">
          <cell r="G4108" t="str">
            <v>AF5221</v>
          </cell>
          <cell r="H4108" t="str">
            <v>Air Filter</v>
          </cell>
        </row>
        <row r="4109">
          <cell r="G4109" t="str">
            <v>AF5237</v>
          </cell>
          <cell r="H4109" t="str">
            <v>Air Filter</v>
          </cell>
        </row>
        <row r="4110">
          <cell r="G4110" t="str">
            <v>AF526</v>
          </cell>
          <cell r="H4110" t="str">
            <v>Air Filter</v>
          </cell>
        </row>
        <row r="4111">
          <cell r="G4111" t="str">
            <v>AF5262</v>
          </cell>
          <cell r="H4111" t="str">
            <v>Air Filter</v>
          </cell>
        </row>
        <row r="4112">
          <cell r="G4112" t="str">
            <v>AF5265</v>
          </cell>
          <cell r="H4112" t="str">
            <v>Air Filter</v>
          </cell>
        </row>
        <row r="4113">
          <cell r="G4113" t="str">
            <v>AF532</v>
          </cell>
          <cell r="H4113" t="str">
            <v>Air Filter</v>
          </cell>
        </row>
        <row r="4114">
          <cell r="G4114" t="str">
            <v>AF535</v>
          </cell>
          <cell r="H4114" t="str">
            <v>Flexible Media Air Filter</v>
          </cell>
        </row>
        <row r="4115">
          <cell r="G4115" t="str">
            <v>AF538</v>
          </cell>
          <cell r="H4115" t="str">
            <v>Air Filter</v>
          </cell>
        </row>
        <row r="4116">
          <cell r="G4116" t="str">
            <v>AF539</v>
          </cell>
          <cell r="H4116" t="str">
            <v>Round Air Filter</v>
          </cell>
        </row>
        <row r="4117">
          <cell r="G4117" t="str">
            <v>AF549</v>
          </cell>
          <cell r="H4117" t="str">
            <v>Air Filter</v>
          </cell>
        </row>
        <row r="4118">
          <cell r="G4118" t="str">
            <v>AF550</v>
          </cell>
          <cell r="H4118" t="str">
            <v>Air Filter</v>
          </cell>
        </row>
        <row r="4119">
          <cell r="G4119" t="str">
            <v>AF5585</v>
          </cell>
          <cell r="H4119" t="str">
            <v>Panel Air Filter</v>
          </cell>
        </row>
        <row r="4120">
          <cell r="G4120" t="str">
            <v>AF5703</v>
          </cell>
          <cell r="H4120" t="str">
            <v>Air Filter</v>
          </cell>
        </row>
        <row r="4121">
          <cell r="G4121" t="str">
            <v>AF5790</v>
          </cell>
          <cell r="H4121" t="str">
            <v>Round Air Filter</v>
          </cell>
        </row>
        <row r="4122">
          <cell r="G4122" t="str">
            <v>AF5791</v>
          </cell>
          <cell r="H4122" t="str">
            <v>Air Filter</v>
          </cell>
        </row>
        <row r="4123">
          <cell r="G4123" t="str">
            <v>AF6009</v>
          </cell>
          <cell r="H4123" t="str">
            <v>Air Filter</v>
          </cell>
        </row>
        <row r="4124">
          <cell r="G4124" t="str">
            <v>AF601</v>
          </cell>
          <cell r="H4124" t="str">
            <v>Oval Air Filter</v>
          </cell>
        </row>
        <row r="4125">
          <cell r="G4125" t="str">
            <v>AF608</v>
          </cell>
          <cell r="H4125" t="str">
            <v>Oval Air Filter</v>
          </cell>
        </row>
        <row r="4126">
          <cell r="G4126" t="str">
            <v>AF63</v>
          </cell>
          <cell r="H4126" t="str">
            <v>Air Filter</v>
          </cell>
        </row>
        <row r="4127">
          <cell r="G4127" t="str">
            <v>AF73</v>
          </cell>
          <cell r="H4127" t="str">
            <v>Air Filter</v>
          </cell>
        </row>
        <row r="4128">
          <cell r="G4128" t="str">
            <v>AF7365</v>
          </cell>
          <cell r="H4128" t="str">
            <v>Air Filter</v>
          </cell>
        </row>
        <row r="4129">
          <cell r="G4129" t="str">
            <v>AF7367</v>
          </cell>
          <cell r="H4129" t="str">
            <v>Air Filter</v>
          </cell>
        </row>
        <row r="4130">
          <cell r="G4130" t="str">
            <v>AF7369</v>
          </cell>
          <cell r="H4130" t="str">
            <v>Air Filter</v>
          </cell>
        </row>
        <row r="4131">
          <cell r="G4131" t="str">
            <v>AF7370</v>
          </cell>
          <cell r="H4131" t="str">
            <v>Air Filter</v>
          </cell>
        </row>
        <row r="4132">
          <cell r="G4132" t="str">
            <v>AF7375</v>
          </cell>
          <cell r="H4132" t="str">
            <v>Air Filter</v>
          </cell>
        </row>
        <row r="4133">
          <cell r="G4133" t="str">
            <v>AF7382</v>
          </cell>
          <cell r="H4133" t="str">
            <v>Air Filter</v>
          </cell>
        </row>
        <row r="4134">
          <cell r="G4134" t="str">
            <v>AF7391</v>
          </cell>
          <cell r="H4134" t="str">
            <v>Air Filter</v>
          </cell>
        </row>
        <row r="4135">
          <cell r="G4135" t="str">
            <v>AF756</v>
          </cell>
          <cell r="H4135" t="str">
            <v>Air Filter</v>
          </cell>
        </row>
        <row r="4136">
          <cell r="G4136" t="str">
            <v>AF772</v>
          </cell>
          <cell r="H4136" t="str">
            <v>Air Filter</v>
          </cell>
        </row>
        <row r="4137">
          <cell r="G4137" t="str">
            <v>AF7802</v>
          </cell>
          <cell r="H4137" t="str">
            <v>Air Filter</v>
          </cell>
        </row>
        <row r="4138">
          <cell r="G4138" t="str">
            <v>AF7803</v>
          </cell>
          <cell r="H4138" t="str">
            <v>Air Filter</v>
          </cell>
        </row>
        <row r="4139">
          <cell r="G4139" t="str">
            <v>AF7805</v>
          </cell>
          <cell r="H4139" t="str">
            <v>Air Filter</v>
          </cell>
        </row>
        <row r="4140">
          <cell r="G4140" t="str">
            <v>AF7807</v>
          </cell>
          <cell r="H4140" t="str">
            <v>Air Filter</v>
          </cell>
        </row>
        <row r="4141">
          <cell r="G4141" t="str">
            <v>AF7808</v>
          </cell>
          <cell r="H4141" t="str">
            <v>Foam Pad</v>
          </cell>
        </row>
        <row r="4142">
          <cell r="G4142" t="str">
            <v>AF7809</v>
          </cell>
          <cell r="H4142" t="str">
            <v>Foam Pad</v>
          </cell>
        </row>
        <row r="4143">
          <cell r="G4143" t="str">
            <v>AF7810</v>
          </cell>
          <cell r="H4143" t="str">
            <v>Air Filter</v>
          </cell>
        </row>
        <row r="4144">
          <cell r="G4144" t="str">
            <v>AF7811</v>
          </cell>
          <cell r="H4144" t="str">
            <v>Foam Pad</v>
          </cell>
        </row>
        <row r="4145">
          <cell r="G4145" t="str">
            <v>AF7812</v>
          </cell>
          <cell r="H4145" t="str">
            <v>Foam Pad</v>
          </cell>
        </row>
        <row r="4146">
          <cell r="G4146" t="str">
            <v>AF7814</v>
          </cell>
          <cell r="H4146" t="str">
            <v>Air Filter</v>
          </cell>
        </row>
        <row r="4147">
          <cell r="G4147" t="str">
            <v>AF7815</v>
          </cell>
          <cell r="H4147" t="str">
            <v>Breather Filter</v>
          </cell>
        </row>
        <row r="4148">
          <cell r="G4148" t="str">
            <v>AF7821</v>
          </cell>
          <cell r="H4148" t="str">
            <v>Air Filter</v>
          </cell>
        </row>
        <row r="4149">
          <cell r="G4149" t="str">
            <v>AF7834</v>
          </cell>
          <cell r="H4149" t="str">
            <v>Panel Air Metal Framed Filter</v>
          </cell>
        </row>
        <row r="4150">
          <cell r="G4150" t="str">
            <v>AF7853</v>
          </cell>
          <cell r="H4150" t="str">
            <v>Air Filter</v>
          </cell>
        </row>
        <row r="4151">
          <cell r="G4151" t="str">
            <v>AF7916</v>
          </cell>
          <cell r="H4151" t="str">
            <v>Air Filter</v>
          </cell>
        </row>
        <row r="4152">
          <cell r="G4152" t="str">
            <v>AF7924</v>
          </cell>
          <cell r="H4152" t="str">
            <v>Air Filter</v>
          </cell>
        </row>
        <row r="4153">
          <cell r="G4153" t="str">
            <v>AF7925</v>
          </cell>
          <cell r="H4153" t="str">
            <v>Air Filter</v>
          </cell>
        </row>
        <row r="4154">
          <cell r="G4154" t="str">
            <v>AF7932</v>
          </cell>
          <cell r="H4154" t="str">
            <v>Air Filter</v>
          </cell>
        </row>
        <row r="4155">
          <cell r="G4155" t="str">
            <v>AF7947</v>
          </cell>
          <cell r="H4155" t="str">
            <v>Oval Air Filter</v>
          </cell>
        </row>
        <row r="4156">
          <cell r="G4156" t="str">
            <v>AF7969</v>
          </cell>
          <cell r="H4156" t="str">
            <v>Air Filter</v>
          </cell>
        </row>
        <row r="4157">
          <cell r="G4157" t="str">
            <v>AF80</v>
          </cell>
          <cell r="H4157" t="str">
            <v>Breather Filter</v>
          </cell>
        </row>
        <row r="4158">
          <cell r="G4158" t="str">
            <v>AF8208</v>
          </cell>
          <cell r="H4158" t="str">
            <v>Air Filter</v>
          </cell>
        </row>
        <row r="4159">
          <cell r="G4159" t="str">
            <v>AF8240</v>
          </cell>
          <cell r="H4159" t="str">
            <v>Air Filter</v>
          </cell>
        </row>
        <row r="4160">
          <cell r="G4160" t="str">
            <v>AF83</v>
          </cell>
          <cell r="H4160" t="str">
            <v>Air Filter</v>
          </cell>
        </row>
        <row r="4161">
          <cell r="G4161" t="str">
            <v>AF8331</v>
          </cell>
          <cell r="H4161" t="str">
            <v>Round Air Filter</v>
          </cell>
        </row>
        <row r="4162">
          <cell r="G4162" t="str">
            <v>AF86</v>
          </cell>
          <cell r="H4162" t="str">
            <v>Air Filter</v>
          </cell>
        </row>
        <row r="4163">
          <cell r="G4163" t="str">
            <v>AF861</v>
          </cell>
          <cell r="H4163" t="str">
            <v>Air Filter</v>
          </cell>
        </row>
        <row r="4164">
          <cell r="G4164" t="str">
            <v>AF8900</v>
          </cell>
          <cell r="H4164" t="str">
            <v>Air Filter</v>
          </cell>
        </row>
        <row r="4165">
          <cell r="G4165" t="str">
            <v>AF8903</v>
          </cell>
          <cell r="H4165" t="str">
            <v>Air Filter</v>
          </cell>
        </row>
        <row r="4166">
          <cell r="G4166" t="str">
            <v>AF8906</v>
          </cell>
          <cell r="H4166" t="str">
            <v>Air Filter</v>
          </cell>
        </row>
        <row r="4167">
          <cell r="G4167" t="str">
            <v>AF8913</v>
          </cell>
          <cell r="H4167" t="str">
            <v>Rigid Panel Air Filter</v>
          </cell>
        </row>
        <row r="4168">
          <cell r="G4168" t="str">
            <v>AF8914</v>
          </cell>
          <cell r="H4168" t="str">
            <v>Air Filter</v>
          </cell>
        </row>
        <row r="4169">
          <cell r="G4169" t="str">
            <v>AF8917</v>
          </cell>
          <cell r="H4169" t="str">
            <v>Air Filter</v>
          </cell>
        </row>
        <row r="4170">
          <cell r="G4170" t="str">
            <v>AF8934</v>
          </cell>
          <cell r="H4170" t="str">
            <v>Air Filter</v>
          </cell>
        </row>
        <row r="4171">
          <cell r="G4171" t="str">
            <v>AF8937</v>
          </cell>
          <cell r="H4171" t="str">
            <v>Air Filter</v>
          </cell>
        </row>
        <row r="4172">
          <cell r="G4172" t="str">
            <v>AF8940</v>
          </cell>
          <cell r="H4172" t="str">
            <v>HD Metal-End Air Filter</v>
          </cell>
        </row>
        <row r="4173">
          <cell r="G4173" t="str">
            <v>AF8942</v>
          </cell>
          <cell r="H4173" t="str">
            <v>Air Filter</v>
          </cell>
        </row>
        <row r="4174">
          <cell r="G4174" t="str">
            <v>AF8945</v>
          </cell>
          <cell r="H4174" t="str">
            <v>Air Filter</v>
          </cell>
        </row>
        <row r="4175">
          <cell r="G4175" t="str">
            <v>AF8949</v>
          </cell>
          <cell r="H4175" t="str">
            <v>Air Filter</v>
          </cell>
        </row>
        <row r="4176">
          <cell r="G4176" t="str">
            <v>AF895</v>
          </cell>
          <cell r="H4176" t="str">
            <v>Air Filter</v>
          </cell>
        </row>
        <row r="4177">
          <cell r="G4177" t="str">
            <v>AF91</v>
          </cell>
          <cell r="H4177" t="str">
            <v>Air Filter</v>
          </cell>
        </row>
        <row r="4178">
          <cell r="G4178" t="str">
            <v>AF928</v>
          </cell>
          <cell r="H4178" t="str">
            <v>Air Filter</v>
          </cell>
        </row>
        <row r="4179">
          <cell r="G4179" t="str">
            <v>AF94</v>
          </cell>
          <cell r="H4179" t="str">
            <v>Air Filter</v>
          </cell>
        </row>
        <row r="4180">
          <cell r="G4180" t="str">
            <v>AF95</v>
          </cell>
          <cell r="H4180" t="str">
            <v>Air Filter</v>
          </cell>
        </row>
        <row r="4181">
          <cell r="G4181" t="str">
            <v>AF970</v>
          </cell>
          <cell r="H4181" t="str">
            <v>Air Filter</v>
          </cell>
        </row>
        <row r="4182">
          <cell r="G4182" t="str">
            <v>AFB1068</v>
          </cell>
          <cell r="H4182" t="str">
            <v>Breather Filter</v>
          </cell>
        </row>
        <row r="4183">
          <cell r="G4183" t="str">
            <v>AFB1621</v>
          </cell>
          <cell r="H4183" t="str">
            <v>Breather Filter</v>
          </cell>
        </row>
        <row r="4184">
          <cell r="G4184" t="str">
            <v>AFB7848</v>
          </cell>
          <cell r="H4184" t="str">
            <v>Breather Filter</v>
          </cell>
        </row>
        <row r="4185">
          <cell r="G4185" t="str">
            <v>AFB7852</v>
          </cell>
          <cell r="H4185" t="str">
            <v>Breather Filter</v>
          </cell>
        </row>
        <row r="4186">
          <cell r="G4186" t="str">
            <v>AFB7860</v>
          </cell>
          <cell r="H4186" t="str">
            <v>Breather Filter</v>
          </cell>
        </row>
        <row r="4187">
          <cell r="G4187" t="str">
            <v>AFB7895</v>
          </cell>
          <cell r="H4187" t="str">
            <v>Breather Filter</v>
          </cell>
        </row>
        <row r="4188">
          <cell r="G4188" t="str">
            <v>AFB7896</v>
          </cell>
          <cell r="H4188" t="str">
            <v>Breather Filter</v>
          </cell>
        </row>
        <row r="4189">
          <cell r="G4189" t="str">
            <v>AFB7897</v>
          </cell>
          <cell r="H4189" t="str">
            <v>Breather Filter</v>
          </cell>
        </row>
        <row r="4190">
          <cell r="G4190" t="str">
            <v>AFB7898</v>
          </cell>
          <cell r="H4190" t="str">
            <v>Breather Filter</v>
          </cell>
        </row>
        <row r="4191">
          <cell r="G4191" t="str">
            <v>AFB7899</v>
          </cell>
          <cell r="H4191" t="str">
            <v>Breather Filter</v>
          </cell>
        </row>
        <row r="4192">
          <cell r="G4192" t="str">
            <v>AFB8365</v>
          </cell>
          <cell r="H4192" t="str">
            <v>Breather Filter</v>
          </cell>
        </row>
        <row r="4193">
          <cell r="G4193" t="str">
            <v>AFB8394</v>
          </cell>
          <cell r="H4193" t="str">
            <v>Breather Filter</v>
          </cell>
        </row>
        <row r="4194">
          <cell r="G4194" t="str">
            <v>AFB8423</v>
          </cell>
          <cell r="H4194" t="str">
            <v>Breather Filter</v>
          </cell>
        </row>
        <row r="4195">
          <cell r="G4195" t="str">
            <v>AFB8440</v>
          </cell>
          <cell r="H4195" t="str">
            <v>Breather Filter</v>
          </cell>
        </row>
        <row r="4196">
          <cell r="G4196" t="str">
            <v>AFB8442</v>
          </cell>
          <cell r="H4196" t="str">
            <v>Breather Filter</v>
          </cell>
        </row>
        <row r="4197">
          <cell r="G4197" t="str">
            <v>CAF12001XL</v>
          </cell>
          <cell r="H4197" t="str">
            <v>Cabin Air Filter (Carbon) Extreme Clean</v>
          </cell>
        </row>
        <row r="4198">
          <cell r="G4198" t="str">
            <v>CAF1735</v>
          </cell>
          <cell r="H4198" t="str">
            <v>Cabin Air Filter</v>
          </cell>
        </row>
        <row r="4199">
          <cell r="G4199" t="str">
            <v>CAF1736</v>
          </cell>
          <cell r="H4199" t="str">
            <v>Cabin Air Filter</v>
          </cell>
        </row>
        <row r="4200">
          <cell r="G4200" t="str">
            <v>CAF1742K</v>
          </cell>
          <cell r="H4200" t="str">
            <v>Cabin Air Filter</v>
          </cell>
        </row>
        <row r="4201">
          <cell r="G4201" t="str">
            <v>CAF1768</v>
          </cell>
          <cell r="H4201" t="str">
            <v>Cabin Air Filter</v>
          </cell>
        </row>
        <row r="4202">
          <cell r="G4202" t="str">
            <v>CAF1769</v>
          </cell>
          <cell r="H4202" t="str">
            <v>Cabin Air Filter</v>
          </cell>
        </row>
        <row r="4203">
          <cell r="G4203" t="str">
            <v>CAF1803C</v>
          </cell>
          <cell r="H4203" t="str">
            <v>Cabin Air Filter (Carbon)</v>
          </cell>
        </row>
        <row r="4204">
          <cell r="G4204" t="str">
            <v>CAF1831P</v>
          </cell>
          <cell r="H4204" t="str">
            <v>Cabin Air Filter</v>
          </cell>
        </row>
        <row r="4205">
          <cell r="G4205" t="str">
            <v>CAF1856C</v>
          </cell>
          <cell r="H4205" t="str">
            <v>Cabin Air Filter (Carbon)</v>
          </cell>
        </row>
        <row r="4206">
          <cell r="G4206" t="str">
            <v>CAF1927C</v>
          </cell>
          <cell r="H4206" t="str">
            <v>Cabin Air Filter (Carbon)</v>
          </cell>
        </row>
        <row r="4207">
          <cell r="G4207" t="str">
            <v>CAF1930C</v>
          </cell>
          <cell r="H4207" t="str">
            <v>Cabin Air Filter</v>
          </cell>
        </row>
        <row r="4208">
          <cell r="G4208" t="str">
            <v>CAF1937P</v>
          </cell>
          <cell r="H4208" t="str">
            <v>Cabin Air Filter</v>
          </cell>
        </row>
        <row r="4209">
          <cell r="G4209" t="str">
            <v>CAF7700</v>
          </cell>
          <cell r="H4209" t="str">
            <v>Cabin Air Filter (Carbon)</v>
          </cell>
        </row>
        <row r="4210">
          <cell r="G4210" t="str">
            <v>CAF7701</v>
          </cell>
          <cell r="H4210" t="str">
            <v>Cabin Air Filter (Carbon)</v>
          </cell>
        </row>
        <row r="4211">
          <cell r="G4211" t="str">
            <v>CAF7715</v>
          </cell>
          <cell r="H4211" t="str">
            <v>Cabin Air Filter (Carbon)</v>
          </cell>
        </row>
        <row r="4212">
          <cell r="G4212" t="str">
            <v>CAF7729</v>
          </cell>
          <cell r="H4212" t="str">
            <v>Cabin Air Filter (Carbon)</v>
          </cell>
        </row>
        <row r="4213">
          <cell r="G4213" t="str">
            <v>CAF7741</v>
          </cell>
          <cell r="H4213" t="str">
            <v>Cabin Air Filter (Carbon)</v>
          </cell>
        </row>
        <row r="4214">
          <cell r="G4214" t="str">
            <v>CAF7769</v>
          </cell>
          <cell r="H4214" t="str">
            <v>Cabin Air Filter (Carbon)</v>
          </cell>
        </row>
        <row r="4215">
          <cell r="G4215" t="str">
            <v>DCF9723</v>
          </cell>
          <cell r="H4215" t="str">
            <v>Dust Collection Filter</v>
          </cell>
        </row>
        <row r="4216">
          <cell r="G4216" t="str">
            <v>FP1000F</v>
          </cell>
          <cell r="H4216" t="str">
            <v>Spin-on Fuel Filter</v>
          </cell>
        </row>
        <row r="4217">
          <cell r="G4217" t="str">
            <v>FP886</v>
          </cell>
          <cell r="H4217" t="str">
            <v>In-Line Fuel Filter</v>
          </cell>
        </row>
        <row r="4218">
          <cell r="G4218" t="str">
            <v>FW4C</v>
          </cell>
          <cell r="H4218" t="str">
            <v>End Cap Filter Removal Wrench for 14 flute 2.65" filters.</v>
          </cell>
        </row>
        <row r="4219">
          <cell r="G4219" t="str">
            <v>G22078</v>
          </cell>
          <cell r="H4219" t="str">
            <v>In-Line Fuel Filter</v>
          </cell>
        </row>
        <row r="4220">
          <cell r="G4220" t="str">
            <v>G240</v>
          </cell>
          <cell r="H4220" t="str">
            <v>In-Line Fuel Filter</v>
          </cell>
        </row>
        <row r="4221">
          <cell r="G4221" t="str">
            <v>G241</v>
          </cell>
          <cell r="H4221" t="str">
            <v>In-Line Fuel Filter</v>
          </cell>
        </row>
        <row r="4222">
          <cell r="G4222" t="str">
            <v>G250</v>
          </cell>
          <cell r="H4222" t="str">
            <v>In-Line Fuel Filter</v>
          </cell>
        </row>
        <row r="4223">
          <cell r="G4223" t="str">
            <v>G252</v>
          </cell>
          <cell r="H4223" t="str">
            <v>In-Line Fuel Filter</v>
          </cell>
        </row>
        <row r="4224">
          <cell r="G4224" t="str">
            <v>G2900</v>
          </cell>
          <cell r="H4224" t="str">
            <v>In-Line Fuel Filter</v>
          </cell>
        </row>
        <row r="4225">
          <cell r="G4225" t="str">
            <v>G2903</v>
          </cell>
          <cell r="H4225" t="str">
            <v>In-Line Fuel Filter</v>
          </cell>
        </row>
        <row r="4226">
          <cell r="G4226" t="str">
            <v>G2905</v>
          </cell>
          <cell r="H4226" t="str">
            <v>In-Line Fuel Filter</v>
          </cell>
        </row>
        <row r="4227">
          <cell r="G4227" t="str">
            <v>G2907</v>
          </cell>
          <cell r="H4227" t="str">
            <v>In-Line Fuel Filter</v>
          </cell>
        </row>
        <row r="4228">
          <cell r="G4228" t="str">
            <v>G2910</v>
          </cell>
          <cell r="H4228" t="str">
            <v>In-Line Fuel Filter</v>
          </cell>
        </row>
        <row r="4229">
          <cell r="G4229" t="str">
            <v>G2911</v>
          </cell>
          <cell r="H4229" t="str">
            <v>In-Line Fuel Filter</v>
          </cell>
        </row>
        <row r="4230">
          <cell r="G4230" t="str">
            <v>G2912</v>
          </cell>
          <cell r="H4230" t="str">
            <v>In-Line Fuel Filter</v>
          </cell>
        </row>
        <row r="4231">
          <cell r="G4231" t="str">
            <v>G2913</v>
          </cell>
          <cell r="H4231" t="str">
            <v>In-Line Fuel Filter</v>
          </cell>
        </row>
        <row r="4232">
          <cell r="G4232" t="str">
            <v>G2914</v>
          </cell>
          <cell r="H4232" t="str">
            <v>In-Line Fuel Filter</v>
          </cell>
        </row>
        <row r="4233">
          <cell r="G4233" t="str">
            <v>G2915</v>
          </cell>
          <cell r="H4233" t="str">
            <v>In-Line Fuel Filter</v>
          </cell>
        </row>
        <row r="4234">
          <cell r="G4234" t="str">
            <v>G2916</v>
          </cell>
          <cell r="H4234" t="str">
            <v>In-Line Fuel Filter</v>
          </cell>
        </row>
        <row r="4235">
          <cell r="G4235" t="str">
            <v>G2918</v>
          </cell>
          <cell r="H4235" t="str">
            <v>In-Line Fuel Filter</v>
          </cell>
        </row>
        <row r="4236">
          <cell r="G4236" t="str">
            <v>G2919</v>
          </cell>
          <cell r="H4236" t="str">
            <v>In-Line Fuel Filter</v>
          </cell>
        </row>
        <row r="4237">
          <cell r="G4237" t="str">
            <v>G2921</v>
          </cell>
          <cell r="H4237" t="str">
            <v>In-Line Fuel Filter</v>
          </cell>
        </row>
        <row r="4238">
          <cell r="G4238" t="str">
            <v>G2928</v>
          </cell>
          <cell r="H4238" t="str">
            <v>In-Line Fuel Filter</v>
          </cell>
        </row>
        <row r="4239">
          <cell r="G4239" t="str">
            <v>G2933</v>
          </cell>
          <cell r="H4239" t="str">
            <v>In-Line Fuel Filter</v>
          </cell>
        </row>
        <row r="4240">
          <cell r="G4240" t="str">
            <v>G2934</v>
          </cell>
          <cell r="H4240" t="str">
            <v>In-Line Fuel Filter</v>
          </cell>
        </row>
        <row r="4241">
          <cell r="G4241" t="str">
            <v>G2935</v>
          </cell>
          <cell r="H4241" t="str">
            <v>In-Line Fuel Filter</v>
          </cell>
        </row>
        <row r="4242">
          <cell r="G4242" t="str">
            <v>G2939</v>
          </cell>
          <cell r="H4242" t="str">
            <v>In-Line Fuel Filter</v>
          </cell>
        </row>
        <row r="4243">
          <cell r="G4243" t="str">
            <v>G2940</v>
          </cell>
          <cell r="H4243" t="str">
            <v>In-Line Fuel Filter</v>
          </cell>
        </row>
        <row r="4244">
          <cell r="G4244" t="str">
            <v>G2943</v>
          </cell>
          <cell r="H4244" t="str">
            <v>In-Line Fuel Filter</v>
          </cell>
        </row>
        <row r="4245">
          <cell r="G4245" t="str">
            <v>G2945</v>
          </cell>
          <cell r="H4245" t="str">
            <v>In-Line Fuel Filter</v>
          </cell>
        </row>
        <row r="4246">
          <cell r="G4246" t="str">
            <v>G2950</v>
          </cell>
          <cell r="H4246" t="str">
            <v>In-Line Fuel Filter</v>
          </cell>
        </row>
        <row r="4247">
          <cell r="G4247" t="str">
            <v>G2953</v>
          </cell>
          <cell r="H4247" t="str">
            <v>In-Line Fuel Filter</v>
          </cell>
        </row>
        <row r="4248">
          <cell r="G4248" t="str">
            <v>G2955</v>
          </cell>
          <cell r="H4248" t="str">
            <v>In-Line Fuel Filter</v>
          </cell>
        </row>
        <row r="4249">
          <cell r="G4249" t="str">
            <v>G2958</v>
          </cell>
          <cell r="H4249" t="str">
            <v>In-Line Fuel Filter</v>
          </cell>
        </row>
        <row r="4250">
          <cell r="G4250" t="str">
            <v>G2959</v>
          </cell>
          <cell r="H4250" t="str">
            <v>In-Line Fuel Filter</v>
          </cell>
        </row>
        <row r="4251">
          <cell r="G4251" t="str">
            <v>G2960</v>
          </cell>
          <cell r="H4251" t="str">
            <v>In-Line Fuel Filter</v>
          </cell>
        </row>
        <row r="4252">
          <cell r="G4252" t="str">
            <v>G2961</v>
          </cell>
          <cell r="H4252" t="str">
            <v>In-Line Fuel Filter</v>
          </cell>
        </row>
        <row r="4253">
          <cell r="G4253" t="str">
            <v>G2962</v>
          </cell>
          <cell r="H4253" t="str">
            <v>In-Line Fuel Filter</v>
          </cell>
        </row>
        <row r="4254">
          <cell r="G4254" t="str">
            <v>G2963</v>
          </cell>
          <cell r="H4254" t="str">
            <v>In-Line Fuel Filter</v>
          </cell>
        </row>
        <row r="4255">
          <cell r="G4255" t="str">
            <v>G2966</v>
          </cell>
          <cell r="H4255" t="str">
            <v>In-Line Fuel Filter</v>
          </cell>
        </row>
        <row r="4256">
          <cell r="G4256" t="str">
            <v>G2967</v>
          </cell>
          <cell r="H4256" t="str">
            <v>In-Line Fuel Filter</v>
          </cell>
        </row>
        <row r="4257">
          <cell r="G4257" t="str">
            <v>G2968</v>
          </cell>
          <cell r="H4257" t="str">
            <v>In-Line Fuel Filter</v>
          </cell>
        </row>
        <row r="4258">
          <cell r="G4258" t="str">
            <v>G2972</v>
          </cell>
          <cell r="H4258" t="str">
            <v>In-Line Fuel Filter</v>
          </cell>
        </row>
        <row r="4259">
          <cell r="G4259" t="str">
            <v>G2974</v>
          </cell>
          <cell r="H4259" t="str">
            <v>In-Line Fuel Filter</v>
          </cell>
        </row>
        <row r="4260">
          <cell r="G4260" t="str">
            <v>G2980</v>
          </cell>
          <cell r="H4260" t="str">
            <v>In-Line Fuel Filter</v>
          </cell>
        </row>
        <row r="4261">
          <cell r="G4261" t="str">
            <v>G2982</v>
          </cell>
          <cell r="H4261" t="str">
            <v>In-Line Fuel Filter</v>
          </cell>
        </row>
        <row r="4262">
          <cell r="G4262" t="str">
            <v>G2983</v>
          </cell>
          <cell r="H4262" t="str">
            <v>In-Line Fuel Filter</v>
          </cell>
        </row>
        <row r="4263">
          <cell r="G4263" t="str">
            <v>G2990</v>
          </cell>
          <cell r="H4263" t="str">
            <v>In-Line Fuel Filter</v>
          </cell>
        </row>
        <row r="4264">
          <cell r="G4264" t="str">
            <v>G2991</v>
          </cell>
          <cell r="H4264" t="str">
            <v>In-Line Fuel Filter</v>
          </cell>
        </row>
        <row r="4265">
          <cell r="G4265" t="str">
            <v>G307</v>
          </cell>
          <cell r="H4265" t="str">
            <v>In-Line Fuel Filter</v>
          </cell>
        </row>
        <row r="4266">
          <cell r="G4266" t="str">
            <v>G310</v>
          </cell>
          <cell r="H4266" t="str">
            <v>In-Line Fuel Filter</v>
          </cell>
        </row>
        <row r="4267">
          <cell r="G4267" t="str">
            <v>G343</v>
          </cell>
          <cell r="H4267" t="str">
            <v>In-Line Fuel Filter</v>
          </cell>
        </row>
        <row r="4268">
          <cell r="G4268" t="str">
            <v>G344</v>
          </cell>
          <cell r="H4268" t="str">
            <v>In-Line Fuel Filter</v>
          </cell>
        </row>
        <row r="4269">
          <cell r="G4269" t="str">
            <v>G477</v>
          </cell>
          <cell r="H4269" t="str">
            <v>In-Line Fuel Filter</v>
          </cell>
        </row>
        <row r="4270">
          <cell r="G4270" t="str">
            <v>G479</v>
          </cell>
          <cell r="H4270" t="str">
            <v>In-Line Fuel Filter</v>
          </cell>
        </row>
        <row r="4271">
          <cell r="G4271" t="str">
            <v>G482</v>
          </cell>
          <cell r="H4271" t="str">
            <v>In-Line Fuel Filter</v>
          </cell>
        </row>
        <row r="4272">
          <cell r="G4272" t="str">
            <v>G491</v>
          </cell>
          <cell r="H4272" t="str">
            <v>In-Line Fuel Filter</v>
          </cell>
        </row>
        <row r="4273">
          <cell r="G4273" t="str">
            <v>G492</v>
          </cell>
          <cell r="H4273" t="str">
            <v>In-Line Fuel Filter</v>
          </cell>
        </row>
        <row r="4274">
          <cell r="G4274" t="str">
            <v>G501</v>
          </cell>
          <cell r="H4274" t="str">
            <v>In-Line Fuel Filter</v>
          </cell>
        </row>
        <row r="4275">
          <cell r="G4275" t="str">
            <v>G502</v>
          </cell>
          <cell r="H4275" t="str">
            <v>In-Line Fuel Filter</v>
          </cell>
        </row>
        <row r="4276">
          <cell r="G4276" t="str">
            <v>G507</v>
          </cell>
          <cell r="H4276" t="str">
            <v>In-Line Fuel Filter</v>
          </cell>
        </row>
        <row r="4277">
          <cell r="G4277" t="str">
            <v>G508</v>
          </cell>
          <cell r="H4277" t="str">
            <v>In-Line Fuel Filter</v>
          </cell>
        </row>
        <row r="4278">
          <cell r="G4278" t="str">
            <v>G511</v>
          </cell>
          <cell r="H4278" t="str">
            <v>In-Line Fuel Filter</v>
          </cell>
        </row>
        <row r="4279">
          <cell r="G4279" t="str">
            <v>G513</v>
          </cell>
          <cell r="H4279" t="str">
            <v>In-Line Fuel Filter</v>
          </cell>
        </row>
        <row r="4280">
          <cell r="G4280" t="str">
            <v>G515</v>
          </cell>
          <cell r="H4280" t="str">
            <v>In-Line Fuel Filter</v>
          </cell>
        </row>
        <row r="4281">
          <cell r="G4281" t="str">
            <v>G6302</v>
          </cell>
          <cell r="H4281" t="str">
            <v>In-Line Fuel Filter</v>
          </cell>
        </row>
        <row r="4282">
          <cell r="G4282" t="str">
            <v>G6310</v>
          </cell>
          <cell r="H4282" t="str">
            <v>In-Line Fuel Filter</v>
          </cell>
        </row>
        <row r="4283">
          <cell r="G4283" t="str">
            <v>G6311</v>
          </cell>
          <cell r="H4283" t="str">
            <v>In-Line Fuel Filter</v>
          </cell>
        </row>
        <row r="4284">
          <cell r="G4284" t="str">
            <v>G6317</v>
          </cell>
          <cell r="H4284" t="str">
            <v>In-Line Fuel Filter</v>
          </cell>
        </row>
        <row r="4285">
          <cell r="G4285" t="str">
            <v>G6319</v>
          </cell>
          <cell r="H4285" t="str">
            <v>In-Line Fuel Filter</v>
          </cell>
        </row>
        <row r="4286">
          <cell r="G4286" t="str">
            <v>G6320</v>
          </cell>
          <cell r="H4286" t="str">
            <v>In-Line Fuel Filter</v>
          </cell>
        </row>
        <row r="4287">
          <cell r="G4287" t="str">
            <v>G6326</v>
          </cell>
          <cell r="H4287" t="str">
            <v>In-Line Fuel Filter</v>
          </cell>
        </row>
        <row r="4288">
          <cell r="G4288" t="str">
            <v>G6327</v>
          </cell>
          <cell r="H4288" t="str">
            <v>In-Line Fuel Filter</v>
          </cell>
        </row>
        <row r="4289">
          <cell r="G4289" t="str">
            <v>G6330</v>
          </cell>
          <cell r="H4289" t="str">
            <v>In-Line Fuel Filter</v>
          </cell>
        </row>
        <row r="4290">
          <cell r="G4290" t="str">
            <v>G6339</v>
          </cell>
          <cell r="H4290" t="str">
            <v>In-Line Fuel Filter</v>
          </cell>
        </row>
        <row r="4291">
          <cell r="G4291" t="str">
            <v>G6345</v>
          </cell>
          <cell r="H4291" t="str">
            <v>In-Line Fuel Filter</v>
          </cell>
        </row>
        <row r="4292">
          <cell r="G4292" t="str">
            <v>G6352</v>
          </cell>
          <cell r="H4292" t="str">
            <v>In-Line Fuel Filter</v>
          </cell>
        </row>
        <row r="4293">
          <cell r="G4293" t="str">
            <v>G6355</v>
          </cell>
          <cell r="H4293" t="str">
            <v>In-Line Fuel Filter</v>
          </cell>
        </row>
        <row r="4294">
          <cell r="G4294" t="str">
            <v>G6356</v>
          </cell>
          <cell r="H4294" t="str">
            <v>In-Line Fuel Filter</v>
          </cell>
        </row>
        <row r="4295">
          <cell r="G4295" t="str">
            <v>G6358</v>
          </cell>
          <cell r="H4295" t="str">
            <v>In-Line Fuel Filter</v>
          </cell>
        </row>
        <row r="4296">
          <cell r="G4296" t="str">
            <v>G6360</v>
          </cell>
          <cell r="H4296" t="str">
            <v>In-Line Fuel Filter</v>
          </cell>
        </row>
        <row r="4297">
          <cell r="G4297" t="str">
            <v>G6363</v>
          </cell>
          <cell r="H4297" t="str">
            <v>In-Line Fuel Filter</v>
          </cell>
        </row>
        <row r="4298">
          <cell r="G4298" t="str">
            <v>G6364</v>
          </cell>
          <cell r="H4298" t="str">
            <v>In-Line Fuel Filter</v>
          </cell>
        </row>
        <row r="4299">
          <cell r="G4299" t="str">
            <v>G6366</v>
          </cell>
          <cell r="H4299" t="str">
            <v>In-Line Fuel Filter</v>
          </cell>
        </row>
        <row r="4300">
          <cell r="G4300" t="str">
            <v>G6370</v>
          </cell>
          <cell r="H4300" t="str">
            <v>In-Line Fuel Filter</v>
          </cell>
        </row>
        <row r="4301">
          <cell r="G4301" t="str">
            <v>G6375</v>
          </cell>
          <cell r="H4301" t="str">
            <v>In-Line Fuel Filter</v>
          </cell>
        </row>
        <row r="4302">
          <cell r="G4302" t="str">
            <v>G6377</v>
          </cell>
          <cell r="H4302" t="str">
            <v>In-Line Fuel Filter</v>
          </cell>
        </row>
        <row r="4303">
          <cell r="G4303" t="str">
            <v>G6379</v>
          </cell>
          <cell r="H4303" t="str">
            <v>In-Line Fuel Filter</v>
          </cell>
        </row>
        <row r="4304">
          <cell r="G4304" t="str">
            <v>G6382</v>
          </cell>
          <cell r="H4304" t="str">
            <v>In-Line Fuel Filter</v>
          </cell>
        </row>
        <row r="4305">
          <cell r="G4305" t="str">
            <v>G6385</v>
          </cell>
          <cell r="H4305" t="str">
            <v>In-Line Fuel Filter</v>
          </cell>
        </row>
        <row r="4306">
          <cell r="G4306" t="str">
            <v>G6396</v>
          </cell>
          <cell r="H4306" t="str">
            <v>In-Line Fuel Filter</v>
          </cell>
        </row>
        <row r="4307">
          <cell r="G4307" t="str">
            <v>G6400</v>
          </cell>
          <cell r="H4307" t="str">
            <v>In-Line Fuel Filter</v>
          </cell>
        </row>
        <row r="4308">
          <cell r="G4308" t="str">
            <v>G6535</v>
          </cell>
          <cell r="H4308" t="str">
            <v>In-Line Fuel Filter</v>
          </cell>
        </row>
        <row r="4309">
          <cell r="G4309" t="str">
            <v>G6536</v>
          </cell>
          <cell r="H4309" t="str">
            <v>In-Line Fuel Filter</v>
          </cell>
        </row>
        <row r="4310">
          <cell r="G4310" t="str">
            <v>G6540</v>
          </cell>
          <cell r="H4310" t="str">
            <v>In-Line Fuel Filter</v>
          </cell>
        </row>
        <row r="4311">
          <cell r="G4311" t="str">
            <v>G6542</v>
          </cell>
          <cell r="H4311" t="str">
            <v>In-Line Fuel Filter</v>
          </cell>
        </row>
        <row r="4312">
          <cell r="G4312" t="str">
            <v>G6552</v>
          </cell>
          <cell r="H4312" t="str">
            <v>In-Line Fuel Filter</v>
          </cell>
        </row>
        <row r="4313">
          <cell r="G4313" t="str">
            <v>G6584</v>
          </cell>
          <cell r="H4313" t="str">
            <v>In-Line Fuel Filter</v>
          </cell>
        </row>
        <row r="4314">
          <cell r="G4314" t="str">
            <v>G6588</v>
          </cell>
          <cell r="H4314" t="str">
            <v>In-Line Fuel Filter</v>
          </cell>
        </row>
        <row r="4315">
          <cell r="G4315" t="str">
            <v>G6629</v>
          </cell>
          <cell r="H4315" t="str">
            <v>In-Line Fuel Filter</v>
          </cell>
        </row>
        <row r="4316">
          <cell r="G4316" t="str">
            <v>G6631</v>
          </cell>
          <cell r="H4316" t="str">
            <v>In-Line Fuel Filter</v>
          </cell>
        </row>
        <row r="4317">
          <cell r="G4317" t="str">
            <v>G720</v>
          </cell>
          <cell r="H4317" t="str">
            <v>In-Line Fuel Filter</v>
          </cell>
        </row>
        <row r="4318">
          <cell r="G4318" t="str">
            <v>G751</v>
          </cell>
          <cell r="H4318" t="str">
            <v>In-Line Fuel Filter</v>
          </cell>
        </row>
        <row r="4319">
          <cell r="G4319" t="str">
            <v>G752</v>
          </cell>
          <cell r="H4319" t="str">
            <v>In-Line Fuel Filter</v>
          </cell>
        </row>
        <row r="4320">
          <cell r="G4320" t="str">
            <v>G8330</v>
          </cell>
          <cell r="H4320" t="str">
            <v>In-Line Fuel Filter</v>
          </cell>
        </row>
        <row r="4321">
          <cell r="G4321" t="str">
            <v>G8836</v>
          </cell>
          <cell r="H4321" t="str">
            <v>In-Line Fuel Filter</v>
          </cell>
        </row>
        <row r="4322">
          <cell r="G4322" t="str">
            <v>G939</v>
          </cell>
          <cell r="H4322" t="str">
            <v>In-Line Fuel Filter</v>
          </cell>
        </row>
        <row r="4323">
          <cell r="G4323" t="str">
            <v>G977</v>
          </cell>
          <cell r="H4323" t="str">
            <v>In-Line Fuel Filter</v>
          </cell>
        </row>
        <row r="4324">
          <cell r="G4324" t="str">
            <v>L1020F</v>
          </cell>
          <cell r="H4324" t="str">
            <v>Cartridge Fuel Filter</v>
          </cell>
        </row>
        <row r="4325">
          <cell r="G4325" t="str">
            <v>L14F</v>
          </cell>
          <cell r="H4325" t="str">
            <v>Cartridge Fuel Filter</v>
          </cell>
        </row>
        <row r="4326">
          <cell r="G4326" t="str">
            <v>L22000F</v>
          </cell>
          <cell r="H4326" t="str">
            <v>Cartridge Fuel Filter</v>
          </cell>
        </row>
        <row r="4327">
          <cell r="G4327" t="str">
            <v>L26</v>
          </cell>
          <cell r="H4327" t="str">
            <v>Sock Type Oil Filter</v>
          </cell>
        </row>
        <row r="4328">
          <cell r="G4328" t="str">
            <v>L3401F</v>
          </cell>
          <cell r="H4328" t="str">
            <v>Cartridge Fuel Filter</v>
          </cell>
        </row>
        <row r="4329">
          <cell r="G4329" t="str">
            <v>L3405F</v>
          </cell>
          <cell r="H4329" t="str">
            <v>Cartridge Fuel Filter</v>
          </cell>
        </row>
        <row r="4330">
          <cell r="G4330" t="str">
            <v>L3418F</v>
          </cell>
          <cell r="H4330" t="str">
            <v>Cartridge Fuel Filter</v>
          </cell>
        </row>
        <row r="4331">
          <cell r="G4331" t="str">
            <v>L3516F</v>
          </cell>
          <cell r="H4331" t="str">
            <v>Cartridge Fuel Filter</v>
          </cell>
        </row>
        <row r="4332">
          <cell r="G4332" t="str">
            <v>L3562F</v>
          </cell>
          <cell r="H4332" t="str">
            <v>Cartridge Fuel Filter</v>
          </cell>
        </row>
        <row r="4333">
          <cell r="G4333" t="str">
            <v>L3568F</v>
          </cell>
          <cell r="H4333" t="str">
            <v>Cartridge Fuel Filter</v>
          </cell>
        </row>
        <row r="4334">
          <cell r="G4334" t="str">
            <v>L3569F</v>
          </cell>
          <cell r="H4334" t="str">
            <v>Cartridge Fuel Filter</v>
          </cell>
        </row>
        <row r="4335">
          <cell r="G4335" t="str">
            <v>L3577F</v>
          </cell>
          <cell r="H4335" t="str">
            <v>Cartridge Fuel Filter</v>
          </cell>
        </row>
        <row r="4336">
          <cell r="G4336" t="str">
            <v>L3920F</v>
          </cell>
          <cell r="H4336" t="str">
            <v>Snap-Lock Fuel Filter</v>
          </cell>
        </row>
        <row r="4337">
          <cell r="G4337" t="str">
            <v>L3922F</v>
          </cell>
          <cell r="H4337" t="str">
            <v>Snap-Lock Fuel Filter</v>
          </cell>
        </row>
        <row r="4338">
          <cell r="G4338" t="str">
            <v>L3923F</v>
          </cell>
          <cell r="H4338" t="str">
            <v>Snap-Lock Fuel Filter</v>
          </cell>
        </row>
        <row r="4339">
          <cell r="G4339" t="str">
            <v>L5949F</v>
          </cell>
          <cell r="H4339" t="str">
            <v>Cartridge Fuel Filter</v>
          </cell>
        </row>
        <row r="4340">
          <cell r="G4340" t="str">
            <v>L7767F</v>
          </cell>
          <cell r="H4340" t="str">
            <v>Cartridge Fuel Filter</v>
          </cell>
        </row>
        <row r="4341">
          <cell r="G4341" t="str">
            <v>L8109F</v>
          </cell>
          <cell r="H4341" t="str">
            <v>Cartridge Fuel Filter</v>
          </cell>
        </row>
        <row r="4342">
          <cell r="G4342" t="str">
            <v>L8305F</v>
          </cell>
          <cell r="H4342" t="str">
            <v>Cartridge Fuel Filter</v>
          </cell>
        </row>
        <row r="4343">
          <cell r="G4343" t="str">
            <v>L8702F</v>
          </cell>
          <cell r="H4343" t="str">
            <v>Cartridge Fuel Filter</v>
          </cell>
        </row>
        <row r="4344">
          <cell r="G4344" t="str">
            <v>L8716F</v>
          </cell>
          <cell r="H4344" t="str">
            <v>Snap-Lock Fuel Filter</v>
          </cell>
        </row>
        <row r="4345">
          <cell r="G4345" t="str">
            <v>L877F</v>
          </cell>
          <cell r="H4345" t="str">
            <v>Cartridge Fuel Filter</v>
          </cell>
        </row>
        <row r="4346">
          <cell r="G4346" t="str">
            <v>LAF1075</v>
          </cell>
          <cell r="H4346" t="str">
            <v>HD Metal-End Air Filter</v>
          </cell>
        </row>
        <row r="4347">
          <cell r="G4347" t="str">
            <v>LAF130</v>
          </cell>
          <cell r="H4347" t="str">
            <v>Rigid Panel Air Filter</v>
          </cell>
        </row>
        <row r="4348">
          <cell r="G4348" t="str">
            <v>LAF1351</v>
          </cell>
          <cell r="H4348" t="str">
            <v>Panel Air Filter Metal Framed</v>
          </cell>
        </row>
        <row r="4349">
          <cell r="G4349" t="str">
            <v>LAF1463</v>
          </cell>
          <cell r="H4349" t="str">
            <v>Round Air Filter</v>
          </cell>
        </row>
        <row r="4350">
          <cell r="G4350" t="str">
            <v>LAF1465MXM</v>
          </cell>
          <cell r="H4350" t="str">
            <v>Nano Tech HD Metal End Air Filter</v>
          </cell>
        </row>
        <row r="4351">
          <cell r="G4351" t="str">
            <v>LAF16</v>
          </cell>
          <cell r="H4351" t="str">
            <v>Round Air Filter</v>
          </cell>
        </row>
        <row r="4352">
          <cell r="G4352" t="str">
            <v>LAF1671</v>
          </cell>
          <cell r="H4352" t="str">
            <v>Engine Crankcase Breather Element Air Filter</v>
          </cell>
        </row>
        <row r="4353">
          <cell r="G4353" t="str">
            <v>LAF1672</v>
          </cell>
          <cell r="H4353" t="str">
            <v>Screw On Breather Air Filter</v>
          </cell>
        </row>
        <row r="4354">
          <cell r="G4354" t="str">
            <v>LAF1728</v>
          </cell>
          <cell r="H4354" t="str">
            <v>HD Round Air Filter with Attached Lid</v>
          </cell>
        </row>
        <row r="4355">
          <cell r="G4355" t="str">
            <v>LAF1739</v>
          </cell>
          <cell r="H4355" t="str">
            <v>Cone Shaped Air Filter With Attached Lid</v>
          </cell>
        </row>
        <row r="4356">
          <cell r="G4356" t="str">
            <v>LAF1758</v>
          </cell>
          <cell r="H4356" t="str">
            <v>Cone Shaped Conical Air Filter</v>
          </cell>
        </row>
        <row r="4357">
          <cell r="G4357" t="str">
            <v>LAF1788</v>
          </cell>
          <cell r="H4357" t="str">
            <v>Panel Air Filter Metal Framed</v>
          </cell>
        </row>
        <row r="4358">
          <cell r="G4358" t="str">
            <v>LAF1792</v>
          </cell>
          <cell r="H4358" t="str">
            <v>Panel Air Filter Metal Framed</v>
          </cell>
        </row>
        <row r="4359">
          <cell r="G4359" t="str">
            <v>LAF1797</v>
          </cell>
          <cell r="H4359" t="str">
            <v>Panel Air Filter Metal Framed</v>
          </cell>
        </row>
        <row r="4360">
          <cell r="G4360" t="str">
            <v>LAF1810MXM</v>
          </cell>
          <cell r="H4360" t="str">
            <v>Nano Tech w/Attached boot Air Filter</v>
          </cell>
        </row>
        <row r="4361">
          <cell r="G4361" t="str">
            <v>LAF1845MXM</v>
          </cell>
          <cell r="H4361" t="str">
            <v>Nano Tech w/Attached boot Air Filter</v>
          </cell>
        </row>
        <row r="4362">
          <cell r="G4362" t="str">
            <v>LAF1867</v>
          </cell>
          <cell r="H4362" t="str">
            <v>HD Metal-End Inner Air Filter</v>
          </cell>
        </row>
        <row r="4363">
          <cell r="G4363" t="str">
            <v>LAF1868</v>
          </cell>
          <cell r="H4363" t="str">
            <v>Finned Vane Air Filter</v>
          </cell>
        </row>
        <row r="4364">
          <cell r="G4364" t="str">
            <v>LAF1884</v>
          </cell>
          <cell r="H4364" t="str">
            <v>HD Metal-End Air Filter</v>
          </cell>
        </row>
        <row r="4365">
          <cell r="G4365" t="str">
            <v>LAF1885</v>
          </cell>
          <cell r="H4365" t="str">
            <v>HD Metal-End Air Filter</v>
          </cell>
        </row>
        <row r="4366">
          <cell r="G4366" t="str">
            <v>LAF1896</v>
          </cell>
          <cell r="H4366" t="str">
            <v>Panel Air Filter Metal Framed</v>
          </cell>
        </row>
        <row r="4367">
          <cell r="G4367" t="str">
            <v>LAF1897</v>
          </cell>
          <cell r="H4367" t="str">
            <v>Panel Air Filter Metal Framed</v>
          </cell>
        </row>
        <row r="4368">
          <cell r="G4368" t="str">
            <v>LAF1939</v>
          </cell>
          <cell r="H4368" t="str">
            <v>HD Metal-End Air Filter</v>
          </cell>
        </row>
        <row r="4369">
          <cell r="G4369" t="str">
            <v>LAF1962</v>
          </cell>
          <cell r="H4369" t="str">
            <v>Round Air Filter</v>
          </cell>
        </row>
        <row r="4370">
          <cell r="G4370" t="str">
            <v>LAF1978</v>
          </cell>
          <cell r="H4370" t="str">
            <v>Round Air Filter</v>
          </cell>
        </row>
        <row r="4371">
          <cell r="G4371" t="str">
            <v>LAF1980</v>
          </cell>
          <cell r="H4371" t="str">
            <v>Round Air Filter</v>
          </cell>
        </row>
        <row r="4372">
          <cell r="G4372" t="str">
            <v>LAF1992</v>
          </cell>
          <cell r="H4372" t="str">
            <v>HD Metal-End Air Filter</v>
          </cell>
        </row>
        <row r="4373">
          <cell r="G4373" t="str">
            <v>LAF22012</v>
          </cell>
          <cell r="H4373" t="str">
            <v>Round Air Filter</v>
          </cell>
        </row>
        <row r="4374">
          <cell r="G4374" t="str">
            <v>LAF22030</v>
          </cell>
          <cell r="H4374" t="str">
            <v>Round Air Filter</v>
          </cell>
        </row>
        <row r="4375">
          <cell r="G4375" t="str">
            <v>LAF22035</v>
          </cell>
          <cell r="H4375" t="str">
            <v>Rigid Panel Air Filter</v>
          </cell>
        </row>
        <row r="4376">
          <cell r="G4376" t="str">
            <v>LAF22037</v>
          </cell>
          <cell r="H4376" t="str">
            <v>Finned Vane Air Filter</v>
          </cell>
        </row>
        <row r="4377">
          <cell r="G4377" t="str">
            <v>LAF22046</v>
          </cell>
          <cell r="H4377" t="str">
            <v>Oval Air Filter</v>
          </cell>
        </row>
        <row r="4378">
          <cell r="G4378" t="str">
            <v>LAF22048</v>
          </cell>
          <cell r="H4378" t="str">
            <v>Special Configuration Air Filter</v>
          </cell>
        </row>
        <row r="4379">
          <cell r="G4379" t="str">
            <v>LAF22051</v>
          </cell>
          <cell r="H4379" t="str">
            <v>HD Metal-End Air Filter</v>
          </cell>
        </row>
        <row r="4380">
          <cell r="G4380" t="str">
            <v>LAF22053</v>
          </cell>
          <cell r="H4380" t="str">
            <v>Panel Air Filter Metal Framed</v>
          </cell>
        </row>
        <row r="4381">
          <cell r="G4381" t="str">
            <v>LAF22059</v>
          </cell>
          <cell r="H4381" t="str">
            <v>HD Metal-End Inner Air Filter</v>
          </cell>
        </row>
        <row r="4382">
          <cell r="G4382" t="str">
            <v>LAF22081</v>
          </cell>
          <cell r="H4382" t="str">
            <v>Finned Vane Air Filter</v>
          </cell>
        </row>
        <row r="4383">
          <cell r="G4383" t="str">
            <v>LAF22086</v>
          </cell>
          <cell r="H4383" t="str">
            <v>HD Metal-End Inner Air Filter</v>
          </cell>
        </row>
        <row r="4384">
          <cell r="G4384" t="str">
            <v>LAF22088</v>
          </cell>
          <cell r="H4384" t="str">
            <v>Special Configuration Air Filter</v>
          </cell>
        </row>
        <row r="4385">
          <cell r="G4385" t="str">
            <v>LAF22092</v>
          </cell>
          <cell r="H4385" t="str">
            <v>HD Metal-End Air Filter</v>
          </cell>
        </row>
        <row r="4386">
          <cell r="G4386" t="str">
            <v>LAF22093</v>
          </cell>
          <cell r="H4386" t="str">
            <v>HD Metal-End Air Filter</v>
          </cell>
        </row>
        <row r="4387">
          <cell r="G4387" t="str">
            <v>LAF22097</v>
          </cell>
          <cell r="H4387" t="str">
            <v>Disposible Housing Air Filter</v>
          </cell>
        </row>
        <row r="4388">
          <cell r="G4388" t="str">
            <v>LAF22105</v>
          </cell>
          <cell r="H4388" t="str">
            <v>HD Round Air Filter with non-woven Batt Media</v>
          </cell>
        </row>
        <row r="4389">
          <cell r="G4389" t="str">
            <v>LAF2397</v>
          </cell>
          <cell r="H4389" t="str">
            <v>Round Inner Air Filter</v>
          </cell>
        </row>
        <row r="4390">
          <cell r="G4390" t="str">
            <v>LAF2522</v>
          </cell>
          <cell r="H4390" t="str">
            <v>HD Metal-End Air Filter</v>
          </cell>
        </row>
        <row r="4391">
          <cell r="G4391" t="str">
            <v>LAF2527</v>
          </cell>
          <cell r="H4391" t="str">
            <v>Panel Air Filter Metal Framed</v>
          </cell>
        </row>
        <row r="4392">
          <cell r="G4392" t="str">
            <v>LAF2541</v>
          </cell>
          <cell r="H4392" t="str">
            <v>HD Metal-End Inner Air Filter</v>
          </cell>
        </row>
        <row r="4393">
          <cell r="G4393" t="str">
            <v>LAF2586</v>
          </cell>
          <cell r="H4393" t="str">
            <v>HD Metal-End Air Filter</v>
          </cell>
        </row>
        <row r="4394">
          <cell r="G4394" t="str">
            <v>LAF276</v>
          </cell>
          <cell r="H4394" t="str">
            <v>Round Air Filter</v>
          </cell>
        </row>
        <row r="4395">
          <cell r="G4395" t="str">
            <v>LAF2872</v>
          </cell>
          <cell r="H4395" t="str">
            <v>Finned Vane Air Filter</v>
          </cell>
        </row>
        <row r="4396">
          <cell r="G4396" t="str">
            <v>LAF3214</v>
          </cell>
          <cell r="H4396" t="str">
            <v>HD Metal-End Air Filter</v>
          </cell>
        </row>
        <row r="4397">
          <cell r="G4397" t="str">
            <v>LAF334MXM</v>
          </cell>
          <cell r="H4397" t="str">
            <v xml:space="preserve">Nano Tech HD Metal-End Air Filter </v>
          </cell>
        </row>
        <row r="4398">
          <cell r="G4398" t="str">
            <v>LAF3352</v>
          </cell>
          <cell r="H4398" t="str">
            <v>HD Metal-End Air Filter</v>
          </cell>
        </row>
        <row r="4399">
          <cell r="G4399" t="str">
            <v>LAF3535AMXM</v>
          </cell>
          <cell r="H4399" t="str">
            <v>Nano Tech Inside-Out Flow Direction Air Filter</v>
          </cell>
        </row>
        <row r="4400">
          <cell r="G4400" t="str">
            <v>LAF3680</v>
          </cell>
          <cell r="H4400" t="str">
            <v>Foam Air Filter</v>
          </cell>
        </row>
        <row r="4401">
          <cell r="G4401" t="str">
            <v>LAF3715</v>
          </cell>
          <cell r="H4401" t="str">
            <v>HD Metal-End Air Filter with Attached Lid</v>
          </cell>
        </row>
        <row r="4402">
          <cell r="G4402" t="str">
            <v>LAF3861</v>
          </cell>
          <cell r="H4402" t="str">
            <v>Radial Seal Inner Air Filter</v>
          </cell>
        </row>
        <row r="4403">
          <cell r="G4403" t="str">
            <v>LAF3930MXM</v>
          </cell>
          <cell r="H4403" t="str">
            <v>Nano Tech HD Metal-End Air Filter Outer</v>
          </cell>
        </row>
        <row r="4404">
          <cell r="G4404" t="str">
            <v>LAF3931</v>
          </cell>
          <cell r="H4404" t="str">
            <v>Cone Shaped Conical Air Filter</v>
          </cell>
        </row>
        <row r="4405">
          <cell r="G4405" t="str">
            <v>LAF3934</v>
          </cell>
          <cell r="H4405" t="str">
            <v>Radial Seal Air Filter with Attached Finn</v>
          </cell>
        </row>
        <row r="4406">
          <cell r="G4406" t="str">
            <v>LAF4123</v>
          </cell>
          <cell r="H4406" t="str">
            <v>Round Air Filter</v>
          </cell>
        </row>
        <row r="4407">
          <cell r="G4407" t="str">
            <v>LAF4157</v>
          </cell>
          <cell r="H4407" t="str">
            <v>HD Metal-End Air Filter</v>
          </cell>
        </row>
        <row r="4408">
          <cell r="G4408" t="str">
            <v>LAF4158</v>
          </cell>
          <cell r="H4408" t="str">
            <v>Round Air Filter</v>
          </cell>
        </row>
        <row r="4409">
          <cell r="G4409" t="str">
            <v>LAF4164</v>
          </cell>
          <cell r="H4409" t="str">
            <v>Panel Air Filter Metal Framed</v>
          </cell>
        </row>
        <row r="4410">
          <cell r="G4410" t="str">
            <v>LAF4180</v>
          </cell>
          <cell r="H4410" t="str">
            <v>HD Metal-End Inner Air Filter</v>
          </cell>
        </row>
        <row r="4411">
          <cell r="G4411" t="str">
            <v>LAF4215</v>
          </cell>
          <cell r="H4411" t="str">
            <v>HD Metal-End Air Filter with Attached Lid</v>
          </cell>
        </row>
        <row r="4412">
          <cell r="G4412" t="str">
            <v>LAF4273MXM</v>
          </cell>
          <cell r="H4412" t="str">
            <v>Nano Tech HD Metal-End Air Filter Outer</v>
          </cell>
        </row>
        <row r="4413">
          <cell r="G4413" t="str">
            <v>LAF4278</v>
          </cell>
          <cell r="H4413" t="str">
            <v>HD Metal-End Air Filter</v>
          </cell>
        </row>
        <row r="4414">
          <cell r="G4414" t="str">
            <v>LAF4280</v>
          </cell>
          <cell r="H4414" t="str">
            <v>Finned Vane Air Filter</v>
          </cell>
        </row>
        <row r="4415">
          <cell r="G4415" t="str">
            <v>LAF4284</v>
          </cell>
          <cell r="H4415" t="str">
            <v>HD Metal-End Air Filter</v>
          </cell>
        </row>
        <row r="4416">
          <cell r="G4416" t="str">
            <v>LAF4287</v>
          </cell>
          <cell r="H4416" t="str">
            <v>Rigid Panel Air Filter</v>
          </cell>
        </row>
        <row r="4417">
          <cell r="G4417" t="str">
            <v>LAF4289</v>
          </cell>
          <cell r="H4417" t="str">
            <v>HD Metal-End Air Filter</v>
          </cell>
        </row>
        <row r="4418">
          <cell r="G4418" t="str">
            <v>LAF4297</v>
          </cell>
          <cell r="H4418" t="str">
            <v>HD Round Air Filter with Attached Boot</v>
          </cell>
        </row>
        <row r="4419">
          <cell r="G4419" t="str">
            <v>LAF4318</v>
          </cell>
          <cell r="H4419" t="str">
            <v>HD Metal-End Air Filter</v>
          </cell>
        </row>
        <row r="4420">
          <cell r="G4420" t="str">
            <v>LAF4324</v>
          </cell>
          <cell r="H4420" t="str">
            <v>HD Metal-End Air Filter with Attached Lid</v>
          </cell>
        </row>
        <row r="4421">
          <cell r="G4421" t="str">
            <v>LAF4343</v>
          </cell>
          <cell r="H4421" t="str">
            <v>Pre-cleaner Air Filter</v>
          </cell>
        </row>
        <row r="4422">
          <cell r="G4422" t="str">
            <v>LAF4356</v>
          </cell>
          <cell r="H4422" t="str">
            <v>Finned Vane Air Filter</v>
          </cell>
        </row>
        <row r="4423">
          <cell r="G4423" t="str">
            <v>LAF4357</v>
          </cell>
          <cell r="H4423" t="str">
            <v>Pre-cleaner Air Filter</v>
          </cell>
        </row>
        <row r="4424">
          <cell r="G4424" t="str">
            <v>LAF4451</v>
          </cell>
          <cell r="H4424" t="str">
            <v>Finned Vane Air Filter</v>
          </cell>
        </row>
        <row r="4425">
          <cell r="G4425" t="str">
            <v>LAF4498MXM</v>
          </cell>
          <cell r="H4425" t="str">
            <v>Nano Tech Radial Seal Air Filter</v>
          </cell>
        </row>
        <row r="4426">
          <cell r="G4426" t="str">
            <v>LAF4509MXM</v>
          </cell>
          <cell r="H4426" t="str">
            <v>Nano Tech Radial Seal Air Filter</v>
          </cell>
        </row>
        <row r="4427">
          <cell r="G4427" t="str">
            <v>LAF47MXM</v>
          </cell>
          <cell r="H4427" t="str">
            <v>Nano Tech Radial Seal Air Filter</v>
          </cell>
        </row>
        <row r="4428">
          <cell r="G4428" t="str">
            <v>LAF5022MXM</v>
          </cell>
          <cell r="H4428" t="str">
            <v>Nano Tech Radial Seal Air Filter</v>
          </cell>
        </row>
        <row r="4429">
          <cell r="G4429" t="str">
            <v>LAF5038</v>
          </cell>
          <cell r="H4429" t="str">
            <v>HD Metal-End Air Filter</v>
          </cell>
        </row>
        <row r="4430">
          <cell r="G4430" t="str">
            <v>LAF5044</v>
          </cell>
          <cell r="H4430" t="str">
            <v>Radial Seal Outer Air Filter</v>
          </cell>
        </row>
        <row r="4431">
          <cell r="G4431" t="str">
            <v>LAF5069MXM</v>
          </cell>
          <cell r="H4431" t="str">
            <v>Nano Tech Air Filter w/Attached boot</v>
          </cell>
        </row>
        <row r="4432">
          <cell r="G4432" t="str">
            <v>LAF5238</v>
          </cell>
          <cell r="H4432" t="str">
            <v>Radial Seal Outer Air Filter</v>
          </cell>
        </row>
        <row r="4433">
          <cell r="G4433" t="str">
            <v>LAF5452W</v>
          </cell>
          <cell r="H4433" t="str">
            <v>Foam Wrap Air Filter</v>
          </cell>
        </row>
        <row r="4434">
          <cell r="G4434" t="str">
            <v>LAF5604</v>
          </cell>
          <cell r="H4434" t="str">
            <v>Oval Air Filter</v>
          </cell>
        </row>
        <row r="4435">
          <cell r="G4435" t="str">
            <v>LAF5614</v>
          </cell>
          <cell r="H4435" t="str">
            <v>Radial Seal Air Filter</v>
          </cell>
        </row>
        <row r="4436">
          <cell r="G4436" t="str">
            <v>LAF5615</v>
          </cell>
          <cell r="H4436" t="str">
            <v>Radial Seal Inner Air Filter</v>
          </cell>
        </row>
        <row r="4437">
          <cell r="G4437" t="str">
            <v>LAF5716</v>
          </cell>
          <cell r="H4437" t="str">
            <v>Flexible Panel Air Filter</v>
          </cell>
        </row>
        <row r="4438">
          <cell r="G4438" t="str">
            <v>LAF5743</v>
          </cell>
          <cell r="H4438" t="str">
            <v>HD Metal-End Air Filter</v>
          </cell>
        </row>
        <row r="4439">
          <cell r="G4439" t="str">
            <v>LAF5750</v>
          </cell>
          <cell r="H4439" t="str">
            <v>HD Metal-End Air Filter</v>
          </cell>
        </row>
        <row r="4440">
          <cell r="G4440" t="str">
            <v>LAF5755</v>
          </cell>
          <cell r="H4440" t="str">
            <v>HD Metal-End Inner Air Filter</v>
          </cell>
        </row>
        <row r="4441">
          <cell r="G4441" t="str">
            <v>LAF5759</v>
          </cell>
          <cell r="H4441" t="str">
            <v>HD Metal-End Air Filter with Attached Lid</v>
          </cell>
        </row>
        <row r="4442">
          <cell r="G4442" t="str">
            <v>LAF5782</v>
          </cell>
          <cell r="H4442" t="str">
            <v>HD Metal-End Air Filter</v>
          </cell>
        </row>
        <row r="4443">
          <cell r="G4443" t="str">
            <v>LAF5786</v>
          </cell>
          <cell r="H4443" t="str">
            <v>HD Metal-End Air Filter with Attached Lid</v>
          </cell>
        </row>
        <row r="4444">
          <cell r="G4444" t="str">
            <v>LAF5829</v>
          </cell>
          <cell r="H4444" t="str">
            <v>HD Metal-End Air Filter with Attached Lid</v>
          </cell>
        </row>
        <row r="4445">
          <cell r="G4445" t="str">
            <v>LAF5832</v>
          </cell>
          <cell r="H4445" t="str">
            <v>HD Metal-End Inner Air Filter</v>
          </cell>
        </row>
        <row r="4446">
          <cell r="G4446" t="str">
            <v>LAF5833</v>
          </cell>
          <cell r="H4446" t="str">
            <v>HD Metal-End Air Filter</v>
          </cell>
        </row>
        <row r="4447">
          <cell r="G4447" t="str">
            <v>LAF5838</v>
          </cell>
          <cell r="H4447" t="str">
            <v>HD Metal-End Air Filter</v>
          </cell>
        </row>
        <row r="4448">
          <cell r="G4448" t="str">
            <v>LAF5877</v>
          </cell>
          <cell r="H4448" t="str">
            <v>Round Air Filter</v>
          </cell>
        </row>
        <row r="4449">
          <cell r="G4449" t="str">
            <v>LAF5881</v>
          </cell>
          <cell r="H4449" t="str">
            <v>HD Metal-End Air Filter with Attached Lid</v>
          </cell>
        </row>
        <row r="4450">
          <cell r="G4450" t="str">
            <v>LAF5884</v>
          </cell>
          <cell r="H4450" t="str">
            <v>HD Metal-End Air Filter</v>
          </cell>
        </row>
        <row r="4451">
          <cell r="G4451" t="str">
            <v>LAF5885</v>
          </cell>
          <cell r="H4451" t="str">
            <v>HD Metal-End Air Filter</v>
          </cell>
        </row>
        <row r="4452">
          <cell r="G4452" t="str">
            <v>LAF5887</v>
          </cell>
          <cell r="H4452" t="str">
            <v>HD Metal-End Air Filter</v>
          </cell>
        </row>
        <row r="4453">
          <cell r="G4453" t="str">
            <v>LAF5929</v>
          </cell>
          <cell r="H4453" t="str">
            <v>Radial Seal Inner Air Filter</v>
          </cell>
        </row>
        <row r="4454">
          <cell r="G4454" t="str">
            <v>LAF6008</v>
          </cell>
          <cell r="H4454" t="str">
            <v>Round Air Filter</v>
          </cell>
        </row>
        <row r="4455">
          <cell r="G4455" t="str">
            <v>LAF6127MXM</v>
          </cell>
          <cell r="H4455" t="str">
            <v>Nano Tech Air Filter w/Attached boot</v>
          </cell>
        </row>
        <row r="4456">
          <cell r="G4456" t="str">
            <v>LAF624</v>
          </cell>
          <cell r="H4456" t="str">
            <v>Round Air Filter</v>
          </cell>
        </row>
        <row r="4457">
          <cell r="G4457" t="str">
            <v>LAF6404</v>
          </cell>
          <cell r="H4457" t="str">
            <v>HD Round Air Filter with Attached Boot</v>
          </cell>
        </row>
        <row r="4458">
          <cell r="G4458" t="str">
            <v>LAF642</v>
          </cell>
          <cell r="H4458" t="str">
            <v>Round Air Filter</v>
          </cell>
        </row>
        <row r="4459">
          <cell r="G4459" t="str">
            <v>LAF6632MXM</v>
          </cell>
          <cell r="H4459" t="str">
            <v xml:space="preserve">Nano Tech Air Filter HD Metal-End </v>
          </cell>
        </row>
        <row r="4460">
          <cell r="G4460" t="str">
            <v>LAF681</v>
          </cell>
          <cell r="H4460" t="str">
            <v>HD Metal-End Air Filter</v>
          </cell>
        </row>
        <row r="4461">
          <cell r="G4461" t="str">
            <v>LAF7092</v>
          </cell>
          <cell r="H4461" t="str">
            <v>Metal-End Air Filter with Closed Top End Cap</v>
          </cell>
        </row>
        <row r="4462">
          <cell r="G4462" t="str">
            <v>LAF7185</v>
          </cell>
          <cell r="H4462" t="str">
            <v>Finned Vane Inner Air Filter</v>
          </cell>
        </row>
        <row r="4463">
          <cell r="G4463" t="str">
            <v>LAF7413MXM</v>
          </cell>
          <cell r="H4463" t="str">
            <v xml:space="preserve">Nano Tech Air Filter HD Metal-End </v>
          </cell>
        </row>
        <row r="4464">
          <cell r="G4464" t="str">
            <v>LAF7456</v>
          </cell>
          <cell r="H4464" t="str">
            <v>Disposible Housing Air Filter</v>
          </cell>
        </row>
        <row r="4465">
          <cell r="G4465" t="str">
            <v>LAF7533</v>
          </cell>
          <cell r="H4465" t="str">
            <v>Round Air Filter</v>
          </cell>
        </row>
        <row r="4466">
          <cell r="G4466" t="str">
            <v>LAF8066</v>
          </cell>
          <cell r="H4466" t="str">
            <v>HD Metal-End Air Filter with Attached Lid</v>
          </cell>
        </row>
        <row r="4467">
          <cell r="G4467" t="str">
            <v>LAF8076</v>
          </cell>
          <cell r="H4467" t="str">
            <v>HD Metal-End Air Filter</v>
          </cell>
        </row>
        <row r="4468">
          <cell r="G4468" t="str">
            <v>LAF8079</v>
          </cell>
          <cell r="H4468" t="str">
            <v>HD Metal-End Air Filter</v>
          </cell>
        </row>
        <row r="4469">
          <cell r="G4469" t="str">
            <v>LAF8125</v>
          </cell>
          <cell r="H4469" t="str">
            <v>Rigid Panel Air Filter</v>
          </cell>
        </row>
        <row r="4470">
          <cell r="G4470" t="str">
            <v>LAF8149MXM</v>
          </cell>
          <cell r="H4470" t="str">
            <v>Nano Tech Radial Seal Air Filter</v>
          </cell>
        </row>
        <row r="4471">
          <cell r="G4471" t="str">
            <v>LAF8160</v>
          </cell>
          <cell r="H4471" t="str">
            <v>HD Metal-End Air Filter with Attached Lid</v>
          </cell>
        </row>
        <row r="4472">
          <cell r="G4472" t="str">
            <v>LAF8162</v>
          </cell>
          <cell r="H4472" t="str">
            <v>HD Metal-End Air Filter with Attached Lid</v>
          </cell>
        </row>
        <row r="4473">
          <cell r="G4473" t="str">
            <v>LAF8166</v>
          </cell>
          <cell r="H4473" t="str">
            <v>Round Air Filter</v>
          </cell>
        </row>
        <row r="4474">
          <cell r="G4474" t="str">
            <v>LAF8168</v>
          </cell>
          <cell r="H4474" t="str">
            <v>HD Metal-End Air Filter</v>
          </cell>
        </row>
        <row r="4475">
          <cell r="G4475" t="str">
            <v>LAF8169</v>
          </cell>
          <cell r="H4475" t="str">
            <v>HD Metal-End Air Filter</v>
          </cell>
        </row>
        <row r="4476">
          <cell r="G4476" t="str">
            <v>LAF8284</v>
          </cell>
          <cell r="H4476" t="str">
            <v>Round Air Filter</v>
          </cell>
        </row>
        <row r="4477">
          <cell r="G4477" t="str">
            <v>LAF8348</v>
          </cell>
          <cell r="H4477" t="str">
            <v>Panel Air Filter</v>
          </cell>
        </row>
        <row r="4478">
          <cell r="G4478" t="str">
            <v>LAF8352</v>
          </cell>
          <cell r="H4478" t="str">
            <v>HD Metal-End Air Filter</v>
          </cell>
        </row>
        <row r="4479">
          <cell r="G4479" t="str">
            <v>LAF8377</v>
          </cell>
          <cell r="H4479" t="str">
            <v>Round Air Filter with Attached Lid</v>
          </cell>
        </row>
        <row r="4480">
          <cell r="G4480" t="str">
            <v>LAF8400</v>
          </cell>
          <cell r="H4480" t="str">
            <v>Round Air Filter</v>
          </cell>
        </row>
        <row r="4481">
          <cell r="G4481" t="str">
            <v>LAF8403</v>
          </cell>
          <cell r="H4481" t="str">
            <v>Round Plastisol Air Filter</v>
          </cell>
        </row>
        <row r="4482">
          <cell r="G4482" t="str">
            <v>LAF8483MXM</v>
          </cell>
          <cell r="H4482" t="str">
            <v xml:space="preserve">Nano Tech Air Filter HD Metal-End </v>
          </cell>
        </row>
        <row r="4483">
          <cell r="G4483" t="str">
            <v>LAF8491</v>
          </cell>
          <cell r="H4483" t="str">
            <v>HD Metal-End Air Filter</v>
          </cell>
        </row>
        <row r="4484">
          <cell r="G4484" t="str">
            <v>LAF8508</v>
          </cell>
          <cell r="H4484" t="str">
            <v>Round Air Filter</v>
          </cell>
        </row>
        <row r="4485">
          <cell r="G4485" t="str">
            <v>LAF8517</v>
          </cell>
          <cell r="H4485" t="str">
            <v>Finned Vane Air Filter</v>
          </cell>
        </row>
        <row r="4486">
          <cell r="G4486" t="str">
            <v>LAF8525</v>
          </cell>
          <cell r="H4486" t="str">
            <v>HD Metal-End Air Filter</v>
          </cell>
        </row>
        <row r="4487">
          <cell r="G4487" t="str">
            <v>LAF8527</v>
          </cell>
          <cell r="H4487" t="str">
            <v>HD Metal-End Air Filter</v>
          </cell>
        </row>
        <row r="4488">
          <cell r="G4488" t="str">
            <v>LAF8528</v>
          </cell>
          <cell r="H4488" t="str">
            <v>Finned Vane Air Filter</v>
          </cell>
        </row>
        <row r="4489">
          <cell r="G4489" t="str">
            <v>LAF8553</v>
          </cell>
          <cell r="H4489" t="str">
            <v>HD Round Air Filter with Threaded Mounting Stud</v>
          </cell>
        </row>
        <row r="4490">
          <cell r="G4490" t="str">
            <v>LAF8564</v>
          </cell>
          <cell r="H4490" t="str">
            <v>HD Metal-End Air Filter</v>
          </cell>
        </row>
        <row r="4491">
          <cell r="G4491" t="str">
            <v>LAF8570</v>
          </cell>
          <cell r="H4491" t="str">
            <v>HD Metal-End Air Filter</v>
          </cell>
        </row>
        <row r="4492">
          <cell r="G4492" t="str">
            <v>LAF8572</v>
          </cell>
          <cell r="H4492" t="str">
            <v>Finned Vane Air Filter</v>
          </cell>
        </row>
        <row r="4493">
          <cell r="G4493" t="str">
            <v>LAF8576</v>
          </cell>
          <cell r="H4493" t="str">
            <v>HD Metal-End Air Filter</v>
          </cell>
        </row>
        <row r="4494">
          <cell r="G4494" t="str">
            <v>LAF8580</v>
          </cell>
          <cell r="H4494" t="str">
            <v>HD Round Air Filter with Attached Lid</v>
          </cell>
        </row>
        <row r="4495">
          <cell r="G4495" t="str">
            <v>LAF8598</v>
          </cell>
          <cell r="H4495" t="str">
            <v>HD Metal-End Air Filter-Inner</v>
          </cell>
        </row>
        <row r="4496">
          <cell r="G4496" t="str">
            <v>LAF8600</v>
          </cell>
          <cell r="H4496" t="str">
            <v>HD Round Air Filter with Attached Lid</v>
          </cell>
        </row>
        <row r="4497">
          <cell r="G4497" t="str">
            <v>LAF8601</v>
          </cell>
          <cell r="H4497" t="str">
            <v>HD Metal-End Air Filter</v>
          </cell>
        </row>
        <row r="4498">
          <cell r="G4498" t="str">
            <v>LAF8606</v>
          </cell>
          <cell r="H4498" t="str">
            <v>HD Metal-End Inner Air Filter</v>
          </cell>
        </row>
        <row r="4499">
          <cell r="G4499" t="str">
            <v>LAF8608</v>
          </cell>
          <cell r="H4499" t="str">
            <v>HD Round Air Filter with Attached Boot</v>
          </cell>
        </row>
        <row r="4500">
          <cell r="G4500" t="str">
            <v>LAF8611</v>
          </cell>
          <cell r="H4500" t="str">
            <v>HD Round Air Filter with Attached Boot</v>
          </cell>
        </row>
        <row r="4501">
          <cell r="G4501" t="str">
            <v>LAF8615</v>
          </cell>
          <cell r="H4501" t="str">
            <v>HD Metal-End Air Filter with Attached Lid</v>
          </cell>
        </row>
        <row r="4502">
          <cell r="G4502" t="str">
            <v>LAF8624</v>
          </cell>
          <cell r="H4502" t="str">
            <v>Cone Shaped Air Filter With Attached Lid</v>
          </cell>
        </row>
        <row r="4503">
          <cell r="G4503" t="str">
            <v>LAF8626</v>
          </cell>
          <cell r="H4503" t="str">
            <v>HD Metal-End Air Filter with Attached Lid</v>
          </cell>
        </row>
        <row r="4504">
          <cell r="G4504" t="str">
            <v>LAF8632</v>
          </cell>
          <cell r="H4504" t="str">
            <v>HD Round Air Filter with Attached Lid</v>
          </cell>
        </row>
        <row r="4505">
          <cell r="G4505" t="str">
            <v>LAF8636</v>
          </cell>
          <cell r="H4505" t="str">
            <v>HD Metal-End Air Filter with Attached Lid</v>
          </cell>
        </row>
        <row r="4506">
          <cell r="G4506" t="str">
            <v>LAF8637</v>
          </cell>
          <cell r="H4506" t="str">
            <v>Finned Vane Air Filter</v>
          </cell>
        </row>
        <row r="4507">
          <cell r="G4507" t="str">
            <v>LAF8638</v>
          </cell>
          <cell r="H4507" t="str">
            <v>HD Metal-End Air Filter</v>
          </cell>
        </row>
        <row r="4508">
          <cell r="G4508" t="str">
            <v>LAF8644</v>
          </cell>
          <cell r="H4508" t="str">
            <v>HD Metal-End Inner Air Filter</v>
          </cell>
        </row>
        <row r="4509">
          <cell r="G4509" t="str">
            <v>LAF8645</v>
          </cell>
          <cell r="H4509" t="str">
            <v>Flexible Panel Air Filter</v>
          </cell>
        </row>
        <row r="4510">
          <cell r="G4510" t="str">
            <v>LAF8652</v>
          </cell>
          <cell r="H4510" t="str">
            <v>HD Metal-End Air Filter with Attached Lid</v>
          </cell>
        </row>
        <row r="4511">
          <cell r="G4511" t="str">
            <v>LAF8665</v>
          </cell>
          <cell r="H4511" t="str">
            <v>HD Metal-End Inner Air Filter</v>
          </cell>
        </row>
        <row r="4512">
          <cell r="G4512" t="str">
            <v>LAF8675</v>
          </cell>
          <cell r="H4512" t="str">
            <v>Finned Vane Air Filter</v>
          </cell>
        </row>
        <row r="4513">
          <cell r="G4513" t="str">
            <v>LAF8697</v>
          </cell>
          <cell r="H4513" t="str">
            <v>Panel Air Filter</v>
          </cell>
        </row>
        <row r="4514">
          <cell r="G4514" t="str">
            <v>LAF8732</v>
          </cell>
          <cell r="H4514" t="str">
            <v>Disposible Housing Air Filter</v>
          </cell>
        </row>
        <row r="4515">
          <cell r="G4515" t="str">
            <v>LAF8743</v>
          </cell>
          <cell r="H4515" t="str">
            <v>Round Air Filter</v>
          </cell>
        </row>
        <row r="4516">
          <cell r="G4516" t="str">
            <v>LAF8747</v>
          </cell>
          <cell r="H4516" t="str">
            <v>Radial Seal Inner Air Filter (Europe Only)</v>
          </cell>
        </row>
        <row r="4517">
          <cell r="G4517" t="str">
            <v>LAF8763</v>
          </cell>
          <cell r="H4517" t="str">
            <v>HD Metal-End Air Filter with Attached Lid</v>
          </cell>
        </row>
        <row r="4518">
          <cell r="G4518" t="str">
            <v>LAF8775</v>
          </cell>
          <cell r="H4518" t="str">
            <v>Panel Air Filter Metal Framed</v>
          </cell>
        </row>
        <row r="4519">
          <cell r="G4519" t="str">
            <v>LAF8782</v>
          </cell>
          <cell r="H4519" t="str">
            <v>Rigid Panel Air Filter</v>
          </cell>
        </row>
        <row r="4520">
          <cell r="G4520" t="str">
            <v>LAF8805</v>
          </cell>
          <cell r="H4520" t="str">
            <v>Disposible Housing Air Filter</v>
          </cell>
        </row>
        <row r="4521">
          <cell r="G4521" t="str">
            <v>LAF8811</v>
          </cell>
          <cell r="H4521" t="str">
            <v>HD Metal-End Inner Air Filter</v>
          </cell>
        </row>
        <row r="4522">
          <cell r="G4522" t="str">
            <v>LAF8827</v>
          </cell>
          <cell r="H4522" t="str">
            <v>HD Metal-End Air Filter-Inner</v>
          </cell>
        </row>
        <row r="4523">
          <cell r="G4523" t="str">
            <v>LAF8831</v>
          </cell>
          <cell r="H4523" t="str">
            <v>HD Metal-End Air Filter</v>
          </cell>
        </row>
        <row r="4524">
          <cell r="G4524" t="str">
            <v>LAF8832</v>
          </cell>
          <cell r="H4524" t="str">
            <v>HD Round Finned Air Filter with Attached Lid</v>
          </cell>
        </row>
        <row r="4525">
          <cell r="G4525" t="str">
            <v>LAF8840</v>
          </cell>
          <cell r="H4525" t="str">
            <v>Radial Seal Outer Air Filter</v>
          </cell>
        </row>
        <row r="4526">
          <cell r="G4526" t="str">
            <v>LAF8871</v>
          </cell>
          <cell r="H4526" t="str">
            <v>Radial Seal Outer Air Filter</v>
          </cell>
        </row>
        <row r="4527">
          <cell r="G4527" t="str">
            <v>LAF8919</v>
          </cell>
          <cell r="H4527" t="str">
            <v>HD Metal-End Air Filter</v>
          </cell>
        </row>
        <row r="4528">
          <cell r="G4528" t="str">
            <v>LAF8921</v>
          </cell>
          <cell r="H4528" t="str">
            <v>HD Metal-End Air Filter</v>
          </cell>
        </row>
        <row r="4529">
          <cell r="G4529" t="str">
            <v>LAF8960</v>
          </cell>
          <cell r="H4529" t="str">
            <v>Cabin Air Filter</v>
          </cell>
        </row>
        <row r="4530">
          <cell r="G4530" t="str">
            <v>LAF8969</v>
          </cell>
          <cell r="H4530" t="str">
            <v>HD Metal-End Air Filter-Inner</v>
          </cell>
        </row>
        <row r="4531">
          <cell r="G4531" t="str">
            <v>LAF8975</v>
          </cell>
          <cell r="H4531" t="str">
            <v>HD Metal-End Air Filter</v>
          </cell>
        </row>
        <row r="4532">
          <cell r="G4532" t="str">
            <v>LAF8978</v>
          </cell>
          <cell r="H4532" t="str">
            <v>HD Metal-End Air Filter</v>
          </cell>
        </row>
        <row r="4533">
          <cell r="G4533" t="str">
            <v>LAF8979</v>
          </cell>
          <cell r="H4533" t="str">
            <v>HD Round Finned Air Filter with Attached Lid</v>
          </cell>
        </row>
        <row r="4534">
          <cell r="G4534" t="str">
            <v>LAF8985</v>
          </cell>
          <cell r="H4534" t="str">
            <v>Finned Vane Air Filter</v>
          </cell>
        </row>
        <row r="4535">
          <cell r="G4535" t="str">
            <v>LAF8998</v>
          </cell>
          <cell r="H4535" t="str">
            <v>Radial Seal Outer Air Filter</v>
          </cell>
        </row>
        <row r="4536">
          <cell r="G4536" t="str">
            <v>LAF9462</v>
          </cell>
          <cell r="H4536" t="str">
            <v>HD Metal-End Air Filter</v>
          </cell>
        </row>
        <row r="4537">
          <cell r="G4537" t="str">
            <v>LAFP4</v>
          </cell>
          <cell r="H4537" t="str">
            <v>Tube Type Air Filter</v>
          </cell>
        </row>
        <row r="4538">
          <cell r="G4538" t="str">
            <v>LBR22147</v>
          </cell>
          <cell r="H4538" t="str">
            <v>Mounting Band</v>
          </cell>
        </row>
        <row r="4539">
          <cell r="G4539" t="str">
            <v>LCTK10</v>
          </cell>
          <cell r="H4539" t="str">
            <v>Coolant Analysis Test Kit</v>
          </cell>
        </row>
        <row r="4540">
          <cell r="G4540" t="str">
            <v>LCTK-C2</v>
          </cell>
          <cell r="H4540" t="str">
            <v>Coolant Analysis Test Kit</v>
          </cell>
        </row>
        <row r="4541">
          <cell r="G4541" t="str">
            <v>LDFTK-IQ</v>
          </cell>
          <cell r="H4541" t="str">
            <v>L-F DIESEL FUEL ANALYSIS KIT</v>
          </cell>
        </row>
        <row r="4542">
          <cell r="G4542" t="str">
            <v>LFF3500</v>
          </cell>
          <cell r="H4542" t="str">
            <v>Spin-on Fuel Filter</v>
          </cell>
        </row>
        <row r="4543">
          <cell r="G4543" t="str">
            <v>LFF3508</v>
          </cell>
          <cell r="H4543" t="str">
            <v>Cartridge Fuel Filter</v>
          </cell>
        </row>
        <row r="4544">
          <cell r="G4544" t="str">
            <v>LFF3510</v>
          </cell>
          <cell r="H4544" t="str">
            <v>Cartridge Fuel Filter</v>
          </cell>
        </row>
        <row r="4545">
          <cell r="G4545" t="str">
            <v>LFF3511</v>
          </cell>
          <cell r="H4545" t="str">
            <v>Cartridge Fuel Filter</v>
          </cell>
        </row>
        <row r="4546">
          <cell r="G4546" t="str">
            <v>LFF3517</v>
          </cell>
          <cell r="H4546" t="str">
            <v>Spin-on Fuel Filter</v>
          </cell>
        </row>
        <row r="4547">
          <cell r="G4547" t="str">
            <v>LFF3572</v>
          </cell>
          <cell r="H4547" t="str">
            <v>Spin-on Fuel Water Separator Filter</v>
          </cell>
        </row>
        <row r="4548">
          <cell r="G4548" t="str">
            <v>LFF3944</v>
          </cell>
          <cell r="H4548" t="str">
            <v>In-Line Fuel Filter</v>
          </cell>
        </row>
        <row r="4549">
          <cell r="G4549" t="str">
            <v>LFF5967</v>
          </cell>
          <cell r="H4549" t="str">
            <v>Spin-on Fuel Water Separator Filter</v>
          </cell>
        </row>
        <row r="4550">
          <cell r="G4550" t="str">
            <v>LFF7686</v>
          </cell>
          <cell r="H4550" t="str">
            <v>In-Line Fuel Filter</v>
          </cell>
        </row>
        <row r="4551">
          <cell r="G4551" t="str">
            <v>LFF8288</v>
          </cell>
          <cell r="H4551" t="str">
            <v>Spin-on Fuel Filter</v>
          </cell>
        </row>
        <row r="4552">
          <cell r="G4552" t="str">
            <v>LFF8739</v>
          </cell>
          <cell r="H4552" t="str">
            <v>Spin-on Fuel Filter</v>
          </cell>
        </row>
        <row r="4553">
          <cell r="G4553" t="str">
            <v>LFF9005</v>
          </cell>
          <cell r="H4553" t="str">
            <v>Bowl Style Fuel Water Separator Filter</v>
          </cell>
        </row>
        <row r="4554">
          <cell r="G4554" t="str">
            <v>LFF905</v>
          </cell>
          <cell r="H4554" t="str">
            <v>Bowl Style Fuel Water Separator Filter</v>
          </cell>
        </row>
        <row r="4555">
          <cell r="G4555" t="str">
            <v>LFH3882-10</v>
          </cell>
          <cell r="H4555" t="str">
            <v>Cartridge Hydraulic Filter</v>
          </cell>
        </row>
        <row r="4556">
          <cell r="G4556" t="str">
            <v>LFH4908</v>
          </cell>
          <cell r="H4556" t="str">
            <v>Spin-on Hydraulic Filter</v>
          </cell>
        </row>
        <row r="4557">
          <cell r="G4557" t="str">
            <v>LFH5939</v>
          </cell>
          <cell r="H4557" t="str">
            <v>Spin-on Hydraulic Filter</v>
          </cell>
        </row>
        <row r="4558">
          <cell r="G4558" t="str">
            <v>LFH8282</v>
          </cell>
          <cell r="H4558" t="str">
            <v>Spin-on Hydraulic Filter</v>
          </cell>
        </row>
        <row r="4559">
          <cell r="G4559" t="str">
            <v>LFH95415</v>
          </cell>
          <cell r="H4559" t="str">
            <v>Spin-on Hydraulic Filter</v>
          </cell>
        </row>
        <row r="4560">
          <cell r="G4560" t="str">
            <v>LFP3200K</v>
          </cell>
          <cell r="H4560" t="str">
            <v>Coalescer Fuel Filter and Mounting Base</v>
          </cell>
        </row>
        <row r="4561">
          <cell r="G4561" t="str">
            <v>LFP3830</v>
          </cell>
          <cell r="H4561" t="str">
            <v>Spin-on Oil Filter</v>
          </cell>
        </row>
        <row r="4562">
          <cell r="G4562" t="str">
            <v>LFP5825</v>
          </cell>
          <cell r="H4562" t="str">
            <v>Spin-on Oil Filter</v>
          </cell>
        </row>
        <row r="4563">
          <cell r="G4563" t="str">
            <v>LFP8096</v>
          </cell>
          <cell r="H4563" t="str">
            <v>Spin-on Oil Filter</v>
          </cell>
        </row>
        <row r="4564">
          <cell r="G4564" t="str">
            <v>LFP8104</v>
          </cell>
          <cell r="H4564" t="str">
            <v>Spin-on Oil Filter</v>
          </cell>
        </row>
        <row r="4565">
          <cell r="G4565" t="str">
            <v>LFP8939</v>
          </cell>
          <cell r="H4565" t="str">
            <v>Spin-on Oil Filter</v>
          </cell>
        </row>
        <row r="4566">
          <cell r="G4566" t="str">
            <v>LFW22138XL</v>
          </cell>
          <cell r="H4566" t="str">
            <v>Extended Life Spin-on Coolant Filter</v>
          </cell>
        </row>
        <row r="4567">
          <cell r="G4567" t="str">
            <v>LH11002V</v>
          </cell>
          <cell r="H4567" t="str">
            <v>Industrial Cartridge Hydraulic Filter</v>
          </cell>
        </row>
        <row r="4568">
          <cell r="G4568" t="str">
            <v>LH11003V</v>
          </cell>
          <cell r="H4568" t="str">
            <v>Industrial Cartridge Hydraulic Filter</v>
          </cell>
        </row>
        <row r="4569">
          <cell r="G4569" t="str">
            <v>LH11004</v>
          </cell>
          <cell r="H4569" t="str">
            <v>Industrial Cartridge Hydraulic Filter</v>
          </cell>
        </row>
        <row r="4570">
          <cell r="G4570" t="str">
            <v>LH11013V</v>
          </cell>
          <cell r="H4570" t="str">
            <v>Industrial Cartridge Hydraulic Filter</v>
          </cell>
        </row>
        <row r="4571">
          <cell r="G4571" t="str">
            <v>LH11015V</v>
          </cell>
          <cell r="H4571" t="str">
            <v>Industrial Cartridge Hydraulic Filter</v>
          </cell>
        </row>
        <row r="4572">
          <cell r="G4572" t="str">
            <v>LH11016V</v>
          </cell>
          <cell r="H4572" t="str">
            <v>Industrial Cartridge Hydraulic Filter</v>
          </cell>
        </row>
        <row r="4573">
          <cell r="G4573" t="str">
            <v>LH11018V</v>
          </cell>
          <cell r="H4573" t="str">
            <v>Industrial Cartridge Hydraulic Filter</v>
          </cell>
        </row>
        <row r="4574">
          <cell r="G4574" t="str">
            <v>LH11019V</v>
          </cell>
          <cell r="H4574" t="str">
            <v>Industrial Cartridge Hydraulic Filter</v>
          </cell>
        </row>
        <row r="4575">
          <cell r="G4575" t="str">
            <v>LH11020V</v>
          </cell>
          <cell r="H4575" t="str">
            <v>Industrial Cartridge Hydraulic Filter</v>
          </cell>
        </row>
        <row r="4576">
          <cell r="G4576" t="str">
            <v>LH11025</v>
          </cell>
          <cell r="H4576" t="str">
            <v>Industrial Cartridge Hydraulic Filter</v>
          </cell>
        </row>
        <row r="4577">
          <cell r="G4577" t="str">
            <v>LH11026</v>
          </cell>
          <cell r="H4577" t="str">
            <v>Industrial Cartridge Hydraulic Filter</v>
          </cell>
        </row>
        <row r="4578">
          <cell r="G4578" t="str">
            <v>LH11027</v>
          </cell>
          <cell r="H4578" t="str">
            <v>Industrial Cartridge Hydraulic Filter</v>
          </cell>
        </row>
        <row r="4579">
          <cell r="G4579" t="str">
            <v>LH11029</v>
          </cell>
          <cell r="H4579" t="str">
            <v>Industrial Cartridge Hydraulic Filter</v>
          </cell>
        </row>
        <row r="4580">
          <cell r="G4580" t="str">
            <v>LH11031V</v>
          </cell>
          <cell r="H4580" t="str">
            <v>Industrial Cartridge Hydraulic Filter</v>
          </cell>
        </row>
        <row r="4581">
          <cell r="G4581" t="str">
            <v>LH11032V</v>
          </cell>
          <cell r="H4581" t="str">
            <v>Industrial Cartridge Hydraulic Filter</v>
          </cell>
        </row>
        <row r="4582">
          <cell r="G4582" t="str">
            <v>LH11035</v>
          </cell>
          <cell r="H4582" t="str">
            <v>Industrial Cartridge Hydraulic Filter</v>
          </cell>
        </row>
        <row r="4583">
          <cell r="G4583" t="str">
            <v>LH11036V</v>
          </cell>
          <cell r="H4583" t="str">
            <v>Industrial Cartridge Hydraulic Filter</v>
          </cell>
        </row>
        <row r="4584">
          <cell r="G4584" t="str">
            <v>LH11037V</v>
          </cell>
          <cell r="H4584" t="str">
            <v>Industrial Cartridge Hydraulic Filter</v>
          </cell>
        </row>
        <row r="4585">
          <cell r="G4585" t="str">
            <v>LH11038V</v>
          </cell>
          <cell r="H4585" t="str">
            <v>Industrial Cartridge Hydraulic Filter</v>
          </cell>
        </row>
        <row r="4586">
          <cell r="G4586" t="str">
            <v>LH11039V</v>
          </cell>
          <cell r="H4586" t="str">
            <v>Industrial Cartridge Hydraulic Filter</v>
          </cell>
        </row>
        <row r="4587">
          <cell r="G4587" t="str">
            <v>LH11040V</v>
          </cell>
          <cell r="H4587" t="str">
            <v>Industrial Cartridge Hydraulic Filter</v>
          </cell>
        </row>
        <row r="4588">
          <cell r="G4588" t="str">
            <v>LH11043V</v>
          </cell>
          <cell r="H4588" t="str">
            <v>Industrial Cartridge Hydraulic Filter</v>
          </cell>
        </row>
        <row r="4589">
          <cell r="G4589" t="str">
            <v>LH11044V</v>
          </cell>
          <cell r="H4589" t="str">
            <v>Industrial Cartridge Hydraulic Filter</v>
          </cell>
        </row>
        <row r="4590">
          <cell r="G4590" t="str">
            <v>LH22063</v>
          </cell>
          <cell r="H4590" t="str">
            <v>Industrial Cartridge Hydraulic Filter</v>
          </cell>
        </row>
        <row r="4591">
          <cell r="G4591" t="str">
            <v>LH22068</v>
          </cell>
          <cell r="H4591" t="str">
            <v>Cartridge Hydraulic Filter</v>
          </cell>
        </row>
        <row r="4592">
          <cell r="G4592" t="str">
            <v>LH22069</v>
          </cell>
          <cell r="H4592" t="str">
            <v>Cartridge Hydraulic Filter</v>
          </cell>
        </row>
        <row r="4593">
          <cell r="G4593" t="str">
            <v>LH22070</v>
          </cell>
          <cell r="H4593" t="str">
            <v>Cartridge Hydraulic Filter</v>
          </cell>
        </row>
        <row r="4594">
          <cell r="G4594" t="str">
            <v>LH22072</v>
          </cell>
          <cell r="H4594" t="str">
            <v>Cartridge Hydraulic Filter</v>
          </cell>
        </row>
        <row r="4595">
          <cell r="G4595" t="str">
            <v>LH22074</v>
          </cell>
          <cell r="H4595" t="str">
            <v>Cartridge Hydraulic Filter</v>
          </cell>
        </row>
        <row r="4596">
          <cell r="G4596" t="str">
            <v>LH22116</v>
          </cell>
          <cell r="H4596" t="str">
            <v>Cartridge Hydraulic Filter</v>
          </cell>
        </row>
        <row r="4597">
          <cell r="G4597" t="str">
            <v>LH22121</v>
          </cell>
          <cell r="H4597" t="str">
            <v>Cartridge Hydraulic Filter</v>
          </cell>
        </row>
        <row r="4598">
          <cell r="G4598" t="str">
            <v>LH22142</v>
          </cell>
          <cell r="H4598" t="str">
            <v>Cartridge Hydraulic Filter</v>
          </cell>
        </row>
        <row r="4599">
          <cell r="G4599" t="str">
            <v>LH22151</v>
          </cell>
          <cell r="H4599" t="str">
            <v>Cartridge Hydraulic Filter</v>
          </cell>
        </row>
        <row r="4600">
          <cell r="G4600" t="str">
            <v>LH22152</v>
          </cell>
          <cell r="H4600" t="str">
            <v>Cartridge Hydraulic Filter</v>
          </cell>
        </row>
        <row r="4601">
          <cell r="G4601" t="str">
            <v>LH3029V</v>
          </cell>
          <cell r="H4601" t="str">
            <v>Cartridge Hydraulic Filter</v>
          </cell>
        </row>
        <row r="4602">
          <cell r="G4602" t="str">
            <v>LH3035V</v>
          </cell>
          <cell r="H4602" t="str">
            <v>Cartridge Hydraulic Filter</v>
          </cell>
        </row>
        <row r="4603">
          <cell r="G4603" t="str">
            <v>LH3878</v>
          </cell>
          <cell r="H4603" t="str">
            <v>Cartridge Hydraulic Filter</v>
          </cell>
        </row>
        <row r="4604">
          <cell r="G4604" t="str">
            <v>LH4100V</v>
          </cell>
          <cell r="H4604" t="str">
            <v>Cartridge Hydraulic Filter</v>
          </cell>
        </row>
        <row r="4605">
          <cell r="G4605" t="str">
            <v>LH4178</v>
          </cell>
          <cell r="H4605" t="str">
            <v>Cartridge Hydraulic Filter</v>
          </cell>
        </row>
        <row r="4606">
          <cell r="G4606" t="str">
            <v>LH4229</v>
          </cell>
          <cell r="H4606" t="str">
            <v>Cartridge Hydraulic Filter</v>
          </cell>
        </row>
        <row r="4607">
          <cell r="G4607" t="str">
            <v>LH4230V</v>
          </cell>
          <cell r="H4607" t="str">
            <v>Cartridge Hydraulic Filter</v>
          </cell>
        </row>
        <row r="4608">
          <cell r="G4608" t="str">
            <v>LH4240</v>
          </cell>
          <cell r="H4608" t="str">
            <v>Cartridge Hydraulic Filter</v>
          </cell>
        </row>
        <row r="4609">
          <cell r="G4609" t="str">
            <v>LH4242</v>
          </cell>
          <cell r="H4609" t="str">
            <v>Cartridge Hydraulic Filter</v>
          </cell>
        </row>
        <row r="4610">
          <cell r="G4610" t="str">
            <v>LH4244</v>
          </cell>
          <cell r="H4610" t="str">
            <v>Cartridge Hydraulic Filter</v>
          </cell>
        </row>
        <row r="4611">
          <cell r="G4611" t="str">
            <v>LH4245</v>
          </cell>
          <cell r="H4611" t="str">
            <v>Cartridge Hydraulic Filter</v>
          </cell>
        </row>
        <row r="4612">
          <cell r="G4612" t="str">
            <v>LH4249</v>
          </cell>
          <cell r="H4612" t="str">
            <v>Cartridge Hydraulic Filter</v>
          </cell>
        </row>
        <row r="4613">
          <cell r="G4613" t="str">
            <v>LH4251</v>
          </cell>
          <cell r="H4613" t="str">
            <v>Cartridge Hydraulic Filter</v>
          </cell>
        </row>
        <row r="4614">
          <cell r="G4614" t="str">
            <v>LH4253</v>
          </cell>
          <cell r="H4614" t="str">
            <v>Cartridge Hydraulic Filter</v>
          </cell>
        </row>
        <row r="4615">
          <cell r="G4615" t="str">
            <v>LH4255</v>
          </cell>
          <cell r="H4615" t="str">
            <v>Cartridge Hydraulic Filter</v>
          </cell>
        </row>
        <row r="4616">
          <cell r="G4616" t="str">
            <v>LH4257</v>
          </cell>
          <cell r="H4616" t="str">
            <v>Cartridge Hydraulic Filter</v>
          </cell>
        </row>
        <row r="4617">
          <cell r="G4617" t="str">
            <v>LH4258</v>
          </cell>
          <cell r="H4617" t="str">
            <v>Cartridge Hydraulic Filter</v>
          </cell>
        </row>
        <row r="4618">
          <cell r="G4618" t="str">
            <v>LH4265</v>
          </cell>
          <cell r="H4618" t="str">
            <v>Cartridge Hydraulic Filter</v>
          </cell>
        </row>
        <row r="4619">
          <cell r="G4619" t="str">
            <v>LH4267</v>
          </cell>
          <cell r="H4619" t="str">
            <v>Cartridge Hydraulic Filter</v>
          </cell>
        </row>
        <row r="4620">
          <cell r="G4620" t="str">
            <v>LH4269</v>
          </cell>
          <cell r="H4620" t="str">
            <v>Cartridge Hydraulic Filter</v>
          </cell>
        </row>
        <row r="4621">
          <cell r="G4621" t="str">
            <v>LH4385-25</v>
          </cell>
          <cell r="H4621" t="str">
            <v>Cartridge Hydraulic Filter</v>
          </cell>
        </row>
        <row r="4622">
          <cell r="G4622" t="str">
            <v>LH4387</v>
          </cell>
          <cell r="H4622" t="str">
            <v>Cartridge Hydraulic Filter</v>
          </cell>
        </row>
        <row r="4623">
          <cell r="G4623" t="str">
            <v>LH4417</v>
          </cell>
          <cell r="H4623" t="str">
            <v>Cartridge Hydraulic Filter</v>
          </cell>
        </row>
        <row r="4624">
          <cell r="G4624" t="str">
            <v>LH4430</v>
          </cell>
          <cell r="H4624" t="str">
            <v>Cartridge Hydraulic Filter</v>
          </cell>
        </row>
        <row r="4625">
          <cell r="G4625" t="str">
            <v>LH4435</v>
          </cell>
          <cell r="H4625" t="str">
            <v>Cartridge Hydraulic Filter</v>
          </cell>
        </row>
        <row r="4626">
          <cell r="G4626" t="str">
            <v>LH4448</v>
          </cell>
          <cell r="H4626" t="str">
            <v>Cartridge Hydraulic Filter</v>
          </cell>
        </row>
        <row r="4627">
          <cell r="G4627" t="str">
            <v>LH4462</v>
          </cell>
          <cell r="H4627" t="str">
            <v>Cartridge Hydraulic Filter</v>
          </cell>
        </row>
        <row r="4628">
          <cell r="G4628" t="str">
            <v>LH4468</v>
          </cell>
          <cell r="H4628" t="str">
            <v>Cartridge Hydraulic Filter</v>
          </cell>
        </row>
        <row r="4629">
          <cell r="G4629" t="str">
            <v>LH4474</v>
          </cell>
          <cell r="H4629" t="str">
            <v>Cartridge Hydraulic Filter</v>
          </cell>
        </row>
        <row r="4630">
          <cell r="G4630" t="str">
            <v>LH4475</v>
          </cell>
          <cell r="H4630" t="str">
            <v>Cartridge Hydraulic Filter</v>
          </cell>
        </row>
        <row r="4631">
          <cell r="G4631" t="str">
            <v>LH4476</v>
          </cell>
          <cell r="H4631" t="str">
            <v>Cartridge Hydraulic Filter</v>
          </cell>
        </row>
        <row r="4632">
          <cell r="G4632" t="str">
            <v>LH4583</v>
          </cell>
          <cell r="H4632" t="str">
            <v>Cartridge Hydraulic Filter</v>
          </cell>
        </row>
        <row r="4633">
          <cell r="G4633" t="str">
            <v>LH4598</v>
          </cell>
          <cell r="H4633" t="str">
            <v>Cartridge Hydraulic Filter</v>
          </cell>
        </row>
        <row r="4634">
          <cell r="G4634" t="str">
            <v>LH4745</v>
          </cell>
          <cell r="H4634" t="str">
            <v>Cartridge Hydraulic Filter</v>
          </cell>
        </row>
        <row r="4635">
          <cell r="G4635" t="str">
            <v>LH4853</v>
          </cell>
          <cell r="H4635" t="str">
            <v>Cartridge Hydraulic Filter</v>
          </cell>
        </row>
        <row r="4636">
          <cell r="G4636" t="str">
            <v>LH4900</v>
          </cell>
          <cell r="H4636" t="str">
            <v>Cartridge Hydraulic Filter</v>
          </cell>
        </row>
        <row r="4637">
          <cell r="G4637" t="str">
            <v>LH4920</v>
          </cell>
          <cell r="H4637" t="str">
            <v>Cartridge Hydraulic Filter</v>
          </cell>
        </row>
        <row r="4638">
          <cell r="G4638" t="str">
            <v>LH4969</v>
          </cell>
          <cell r="H4638" t="str">
            <v>Cartridge Hydraulic Filter</v>
          </cell>
        </row>
        <row r="4639">
          <cell r="G4639" t="str">
            <v>LH4995</v>
          </cell>
          <cell r="H4639" t="str">
            <v>Cartridge Hydraulic Filter</v>
          </cell>
        </row>
        <row r="4640">
          <cell r="G4640" t="str">
            <v>LH4999</v>
          </cell>
          <cell r="H4640" t="str">
            <v>Cartridge Hydraulic Filter</v>
          </cell>
        </row>
        <row r="4641">
          <cell r="G4641" t="str">
            <v>LH5000</v>
          </cell>
          <cell r="H4641" t="str">
            <v>Cartridge Hydraulic Filter</v>
          </cell>
        </row>
        <row r="4642">
          <cell r="G4642" t="str">
            <v>LH5017</v>
          </cell>
          <cell r="H4642" t="str">
            <v>Cartridge Hydraulic Filter</v>
          </cell>
        </row>
        <row r="4643">
          <cell r="G4643" t="str">
            <v>LH5841</v>
          </cell>
          <cell r="H4643" t="str">
            <v>Cartridge Hydraulic Filter</v>
          </cell>
        </row>
        <row r="4644">
          <cell r="G4644" t="str">
            <v>LH5940</v>
          </cell>
          <cell r="H4644" t="str">
            <v>Cartridge Hydraulic Filter</v>
          </cell>
        </row>
        <row r="4645">
          <cell r="G4645" t="str">
            <v>LH6194</v>
          </cell>
          <cell r="H4645" t="str">
            <v>Cartridge Hydraulic Filter</v>
          </cell>
        </row>
        <row r="4646">
          <cell r="G4646" t="str">
            <v>LH6489</v>
          </cell>
          <cell r="H4646" t="str">
            <v>Cartridge Hydraulic Filter</v>
          </cell>
        </row>
        <row r="4647">
          <cell r="G4647" t="str">
            <v>LH6649V</v>
          </cell>
          <cell r="H4647" t="str">
            <v>Industrial Cartridge Hydraulic Filter</v>
          </cell>
        </row>
        <row r="4648">
          <cell r="G4648" t="str">
            <v>LH6861V</v>
          </cell>
          <cell r="H4648" t="str">
            <v>Industrial Cartridge Hydraulic Filter</v>
          </cell>
        </row>
        <row r="4649">
          <cell r="G4649" t="str">
            <v>LH6899V</v>
          </cell>
          <cell r="H4649" t="str">
            <v>Cartridge Hydraulic Filter</v>
          </cell>
        </row>
        <row r="4650">
          <cell r="G4650" t="str">
            <v>LH6979V</v>
          </cell>
          <cell r="H4650" t="str">
            <v>Cartridge Hydraulic Filter</v>
          </cell>
        </row>
        <row r="4651">
          <cell r="G4651" t="str">
            <v>LH6988V</v>
          </cell>
          <cell r="H4651" t="str">
            <v>Cartridge Hydraulic Filter</v>
          </cell>
        </row>
        <row r="4652">
          <cell r="G4652" t="str">
            <v>LH7041V</v>
          </cell>
          <cell r="H4652" t="str">
            <v>Cartridge Hydraulic Filter</v>
          </cell>
        </row>
        <row r="4653">
          <cell r="G4653" t="str">
            <v>LH7042V</v>
          </cell>
          <cell r="H4653" t="str">
            <v>Industrial Cartridge Hydraulic Filter</v>
          </cell>
        </row>
        <row r="4654">
          <cell r="G4654" t="str">
            <v>LH7083</v>
          </cell>
          <cell r="H4654" t="str">
            <v>Cartridge Hydraulic Filter</v>
          </cell>
        </row>
        <row r="4655">
          <cell r="G4655" t="str">
            <v>LH7084</v>
          </cell>
          <cell r="H4655" t="str">
            <v>Cartridge Hydraulic Filter</v>
          </cell>
        </row>
        <row r="4656">
          <cell r="G4656" t="str">
            <v>LH8336</v>
          </cell>
          <cell r="H4656" t="str">
            <v>Cartridge Hydraulic Filter</v>
          </cell>
        </row>
        <row r="4657">
          <cell r="G4657" t="str">
            <v>LH8378</v>
          </cell>
          <cell r="H4657" t="str">
            <v>Cartridge Hydraulic Filter</v>
          </cell>
        </row>
        <row r="4658">
          <cell r="G4658" t="str">
            <v>LH8519</v>
          </cell>
          <cell r="H4658" t="str">
            <v>Cartridge Hydraulic Filter</v>
          </cell>
        </row>
        <row r="4659">
          <cell r="G4659" t="str">
            <v>LH8520</v>
          </cell>
          <cell r="H4659" t="str">
            <v>Cartridge Hydraulic Filter</v>
          </cell>
        </row>
        <row r="4660">
          <cell r="G4660" t="str">
            <v>LH8521</v>
          </cell>
          <cell r="H4660" t="str">
            <v>Cartridge Hydraulic Filter</v>
          </cell>
        </row>
        <row r="4661">
          <cell r="G4661" t="str">
            <v>LH8522</v>
          </cell>
          <cell r="H4661" t="str">
            <v>Cartridge Hydraulic Filter</v>
          </cell>
        </row>
        <row r="4662">
          <cell r="G4662" t="str">
            <v>LH8523</v>
          </cell>
          <cell r="H4662" t="str">
            <v>Cartridge Hydraulic Filter</v>
          </cell>
        </row>
        <row r="4663">
          <cell r="G4663" t="str">
            <v>LH8532</v>
          </cell>
          <cell r="H4663" t="str">
            <v>Cartridge Hydraulic Filter</v>
          </cell>
        </row>
        <row r="4664">
          <cell r="G4664" t="str">
            <v>LH8540</v>
          </cell>
          <cell r="H4664" t="str">
            <v>Cartridge Hydraulic Filter</v>
          </cell>
        </row>
        <row r="4665">
          <cell r="G4665" t="str">
            <v>LH8545</v>
          </cell>
          <cell r="H4665" t="str">
            <v>Cartridge Hydraulic Filter</v>
          </cell>
        </row>
        <row r="4666">
          <cell r="G4666" t="str">
            <v>LH8546</v>
          </cell>
          <cell r="H4666" t="str">
            <v>Cartridge Hydraulic Filter</v>
          </cell>
        </row>
        <row r="4667">
          <cell r="G4667" t="str">
            <v>LH8698</v>
          </cell>
          <cell r="H4667" t="str">
            <v>Cartridge Hydraulic Filter</v>
          </cell>
        </row>
        <row r="4668">
          <cell r="G4668" t="str">
            <v>LH8699</v>
          </cell>
          <cell r="H4668" t="str">
            <v>Cartridge Hydraulic Filter</v>
          </cell>
        </row>
        <row r="4669">
          <cell r="G4669" t="str">
            <v>LH8787</v>
          </cell>
          <cell r="H4669" t="str">
            <v>Cartridge Hydraulic Filter</v>
          </cell>
        </row>
        <row r="4670">
          <cell r="G4670" t="str">
            <v>LH8883</v>
          </cell>
          <cell r="H4670" t="str">
            <v>Cartridge Hydraulic Filter</v>
          </cell>
        </row>
        <row r="4671">
          <cell r="G4671" t="str">
            <v>LH9039</v>
          </cell>
          <cell r="H4671" t="str">
            <v>Cartridge Hydraulic Filter</v>
          </cell>
        </row>
        <row r="4672">
          <cell r="G4672" t="str">
            <v>LH9227V</v>
          </cell>
          <cell r="H4672" t="str">
            <v>Cartridge Hydraulic Filter</v>
          </cell>
        </row>
        <row r="4673">
          <cell r="G4673" t="str">
            <v>LH9267</v>
          </cell>
          <cell r="H4673" t="str">
            <v>Cartridge Hydraulic Filter</v>
          </cell>
        </row>
        <row r="4674">
          <cell r="G4674" t="str">
            <v>LH9310V</v>
          </cell>
          <cell r="H4674" t="str">
            <v>Cartridge Hydraulic Filter</v>
          </cell>
        </row>
        <row r="4675">
          <cell r="G4675" t="str">
            <v>LH9359V</v>
          </cell>
          <cell r="H4675" t="str">
            <v>Cartridge Hydraulic Filter</v>
          </cell>
        </row>
        <row r="4676">
          <cell r="G4676" t="str">
            <v>LH9400</v>
          </cell>
          <cell r="H4676" t="str">
            <v>Cartridge Hydraulic Filter</v>
          </cell>
        </row>
        <row r="4677">
          <cell r="G4677" t="str">
            <v>LH9401</v>
          </cell>
          <cell r="H4677" t="str">
            <v>Cartridge Hydraulic Filter</v>
          </cell>
        </row>
        <row r="4678">
          <cell r="G4678" t="str">
            <v>LH9411</v>
          </cell>
          <cell r="H4678" t="str">
            <v>Cartridge Hydraulic Filter</v>
          </cell>
        </row>
        <row r="4679">
          <cell r="G4679" t="str">
            <v>LH9413</v>
          </cell>
          <cell r="H4679" t="str">
            <v>Cartridge Hydraulic Filter</v>
          </cell>
        </row>
        <row r="4680">
          <cell r="G4680" t="str">
            <v>LH95011</v>
          </cell>
          <cell r="H4680" t="str">
            <v>Cartridge Hydraulic Filter</v>
          </cell>
        </row>
        <row r="4681">
          <cell r="G4681" t="str">
            <v>LH95024V</v>
          </cell>
          <cell r="H4681" t="str">
            <v>Cartridge Hydraulic Filter</v>
          </cell>
        </row>
        <row r="4682">
          <cell r="G4682" t="str">
            <v>LH95027V</v>
          </cell>
          <cell r="H4682" t="str">
            <v>Cartridge Hydraulic Filter</v>
          </cell>
        </row>
        <row r="4683">
          <cell r="G4683" t="str">
            <v>LH95046V</v>
          </cell>
          <cell r="H4683" t="str">
            <v>Cartridge Hydraulic Filter</v>
          </cell>
        </row>
        <row r="4684">
          <cell r="G4684" t="str">
            <v>LH95058V</v>
          </cell>
          <cell r="H4684" t="str">
            <v>Cartridge Hydraulic Filter</v>
          </cell>
        </row>
        <row r="4685">
          <cell r="G4685" t="str">
            <v>LH95063V</v>
          </cell>
          <cell r="H4685" t="str">
            <v>Cartridge Hydraulic Filter</v>
          </cell>
        </row>
        <row r="4686">
          <cell r="G4686" t="str">
            <v>LH95115V</v>
          </cell>
          <cell r="H4686" t="str">
            <v>Cartridge Hydraulic Filter</v>
          </cell>
        </row>
        <row r="4687">
          <cell r="G4687" t="str">
            <v>LH95117V</v>
          </cell>
          <cell r="H4687" t="str">
            <v>Cartridge Hydraulic Filter</v>
          </cell>
        </row>
        <row r="4688">
          <cell r="G4688" t="str">
            <v>LH95121</v>
          </cell>
          <cell r="H4688" t="str">
            <v>Cartridge Hydraulic Filter</v>
          </cell>
        </row>
        <row r="4689">
          <cell r="G4689" t="str">
            <v>LH95121V</v>
          </cell>
          <cell r="H4689" t="str">
            <v>Cartridge Hydraulic Filter</v>
          </cell>
        </row>
        <row r="4690">
          <cell r="G4690" t="str">
            <v>LH95152</v>
          </cell>
          <cell r="H4690" t="str">
            <v>Cartridge Hydraulic Filter</v>
          </cell>
        </row>
        <row r="4691">
          <cell r="G4691" t="str">
            <v>LH95197</v>
          </cell>
          <cell r="H4691" t="str">
            <v>Cartridge Hydraulic Filter</v>
          </cell>
        </row>
        <row r="4692">
          <cell r="G4692" t="str">
            <v>LH95241</v>
          </cell>
          <cell r="H4692" t="str">
            <v>Cartridge Hydraulic Filter</v>
          </cell>
        </row>
        <row r="4693">
          <cell r="G4693" t="str">
            <v>LH95266V</v>
          </cell>
          <cell r="H4693" t="str">
            <v>Cartridge Hydraulic Filter</v>
          </cell>
        </row>
        <row r="4694">
          <cell r="G4694" t="str">
            <v>LH95271V</v>
          </cell>
          <cell r="H4694" t="str">
            <v>Cartridge Hydraulic Filter</v>
          </cell>
        </row>
        <row r="4695">
          <cell r="G4695" t="str">
            <v>LH95272V</v>
          </cell>
          <cell r="H4695" t="str">
            <v>Cartridge Hydraulic Filter</v>
          </cell>
        </row>
        <row r="4696">
          <cell r="G4696" t="str">
            <v>LH95276V</v>
          </cell>
          <cell r="H4696" t="str">
            <v>Cartridge Hydraulic Filter</v>
          </cell>
        </row>
        <row r="4697">
          <cell r="G4697" t="str">
            <v>LH95281V</v>
          </cell>
          <cell r="H4697" t="str">
            <v>Cartridge Hydraulic Filter</v>
          </cell>
        </row>
        <row r="4698">
          <cell r="G4698" t="str">
            <v>LH95314V</v>
          </cell>
          <cell r="H4698" t="str">
            <v>Cartridge Hydraulic Filter</v>
          </cell>
        </row>
        <row r="4699">
          <cell r="G4699" t="str">
            <v>LH95316V</v>
          </cell>
          <cell r="H4699" t="str">
            <v>Cartridge Hydraulic Filter</v>
          </cell>
        </row>
        <row r="4700">
          <cell r="G4700" t="str">
            <v>LH95332V</v>
          </cell>
          <cell r="H4700" t="str">
            <v>Cartridge Hydraulic Filter</v>
          </cell>
        </row>
        <row r="4701">
          <cell r="G4701" t="str">
            <v>LH95341V</v>
          </cell>
          <cell r="H4701" t="str">
            <v>Cartridge Hydraulic Filter</v>
          </cell>
        </row>
        <row r="4702">
          <cell r="G4702" t="str">
            <v>LH95394V</v>
          </cell>
          <cell r="H4702" t="str">
            <v>Cartridge Hydraulic Filter</v>
          </cell>
        </row>
        <row r="4703">
          <cell r="G4703" t="str">
            <v>LH9558</v>
          </cell>
          <cell r="H4703" t="str">
            <v>Industrial Cartridge Hydraulic Filter</v>
          </cell>
        </row>
        <row r="4704">
          <cell r="G4704" t="str">
            <v>LH95610</v>
          </cell>
          <cell r="H4704" t="str">
            <v>Cartridge Hydraulic Filter</v>
          </cell>
        </row>
        <row r="4705">
          <cell r="G4705" t="str">
            <v>LH95850</v>
          </cell>
          <cell r="H4705" t="str">
            <v>Cartridge Hydraulic Filter</v>
          </cell>
        </row>
        <row r="4706">
          <cell r="G4706" t="str">
            <v>LH95920V</v>
          </cell>
          <cell r="H4706" t="str">
            <v>Cartridge Hydraulic Filter</v>
          </cell>
        </row>
        <row r="4707">
          <cell r="G4707" t="str">
            <v>LH95996V</v>
          </cell>
          <cell r="H4707" t="str">
            <v>Cartridge Hydraulic Filter</v>
          </cell>
        </row>
        <row r="4708">
          <cell r="G4708" t="str">
            <v>LH95999V</v>
          </cell>
          <cell r="H4708" t="str">
            <v>Cartridge Hydraulic Filter</v>
          </cell>
        </row>
        <row r="4709">
          <cell r="G4709" t="str">
            <v>LK110C</v>
          </cell>
          <cell r="H4709" t="str">
            <v>Cummins Engine Maintenance Kit</v>
          </cell>
        </row>
        <row r="4710">
          <cell r="G4710" t="str">
            <v>LK153D</v>
          </cell>
          <cell r="H4710" t="str">
            <v>Detroit Diesel Engine Maintenance Kit</v>
          </cell>
        </row>
        <row r="4711">
          <cell r="G4711" t="str">
            <v>LK154D</v>
          </cell>
          <cell r="H4711" t="str">
            <v>Detroit Diesel Engine Maintenance Kit</v>
          </cell>
        </row>
        <row r="4712">
          <cell r="G4712" t="str">
            <v>LK159D</v>
          </cell>
          <cell r="H4712" t="str">
            <v>Detroit Diesel Engine Maintenance Kit</v>
          </cell>
        </row>
        <row r="4713">
          <cell r="G4713" t="str">
            <v>LK160CA</v>
          </cell>
          <cell r="H4713" t="str">
            <v>Caterpillar Engine Maintenance Kit</v>
          </cell>
        </row>
        <row r="4714">
          <cell r="G4714" t="str">
            <v>LK164D</v>
          </cell>
          <cell r="H4714" t="str">
            <v>Detroit Diesel Engine Maintenance Kit</v>
          </cell>
        </row>
        <row r="4715">
          <cell r="G4715" t="str">
            <v>LK166D</v>
          </cell>
          <cell r="H4715" t="str">
            <v>Detroit Diesel Engine Maintenance Kit</v>
          </cell>
        </row>
        <row r="4716">
          <cell r="G4716" t="str">
            <v>LK179D</v>
          </cell>
          <cell r="H4716" t="str">
            <v>Detroit Diesel Engine Maintenance Kit</v>
          </cell>
        </row>
        <row r="4717">
          <cell r="G4717" t="str">
            <v>LK181D</v>
          </cell>
          <cell r="H4717" t="str">
            <v>Detroit Diesel Engine Maintenance Kit</v>
          </cell>
        </row>
        <row r="4718">
          <cell r="G4718" t="str">
            <v>LK184D</v>
          </cell>
          <cell r="H4718" t="str">
            <v>Detroit Diesel Engine Maintenance Kit</v>
          </cell>
        </row>
        <row r="4719">
          <cell r="G4719" t="str">
            <v>LK186I</v>
          </cell>
          <cell r="H4719" t="str">
            <v>International Engine Maintenance Kit</v>
          </cell>
        </row>
        <row r="4720">
          <cell r="G4720" t="str">
            <v>LK195T</v>
          </cell>
          <cell r="H4720" t="str">
            <v>Thermo King Engine Maintenance Kit</v>
          </cell>
        </row>
        <row r="4721">
          <cell r="G4721" t="str">
            <v>LK202C</v>
          </cell>
          <cell r="H4721" t="str">
            <v>Cummins Engine Maintenance Kit</v>
          </cell>
        </row>
        <row r="4722">
          <cell r="G4722" t="str">
            <v>LK204I</v>
          </cell>
          <cell r="H4722" t="str">
            <v>International Engine Maintenance Kit</v>
          </cell>
        </row>
        <row r="4723">
          <cell r="G4723" t="str">
            <v>LK206I</v>
          </cell>
          <cell r="H4723" t="str">
            <v>International Engine Maintenance Kit</v>
          </cell>
        </row>
        <row r="4724">
          <cell r="G4724" t="str">
            <v>LK207I</v>
          </cell>
          <cell r="H4724" t="str">
            <v>International Engine Maintenance Kit</v>
          </cell>
        </row>
        <row r="4725">
          <cell r="G4725" t="str">
            <v>LK215V</v>
          </cell>
          <cell r="H4725" t="str">
            <v>Volvo Engine Maintenance Kit</v>
          </cell>
        </row>
        <row r="4726">
          <cell r="G4726" t="str">
            <v>LK219I</v>
          </cell>
          <cell r="H4726" t="str">
            <v>International Engine Maintenance Kit</v>
          </cell>
        </row>
        <row r="4727">
          <cell r="G4727" t="str">
            <v>LK224I</v>
          </cell>
          <cell r="H4727" t="str">
            <v>International Engine Maintenance Kit</v>
          </cell>
        </row>
        <row r="4728">
          <cell r="G4728" t="str">
            <v>LK229I</v>
          </cell>
          <cell r="H4728" t="str">
            <v>International Engine Maintenance Kit</v>
          </cell>
        </row>
        <row r="4729">
          <cell r="G4729" t="str">
            <v>LK238D</v>
          </cell>
          <cell r="H4729" t="str">
            <v>Detroit Diesel Engine Maintenance Kit</v>
          </cell>
        </row>
        <row r="4730">
          <cell r="G4730" t="str">
            <v>LK243C</v>
          </cell>
          <cell r="H4730" t="str">
            <v>Cummins Engine Maintenance Kit</v>
          </cell>
        </row>
        <row r="4731">
          <cell r="G4731" t="str">
            <v>LK247C</v>
          </cell>
          <cell r="H4731" t="str">
            <v>Cummins Engine Maintenance Kit</v>
          </cell>
        </row>
        <row r="4732">
          <cell r="G4732" t="str">
            <v>LK248I</v>
          </cell>
          <cell r="H4732" t="str">
            <v>International Engine Maintenance Kit</v>
          </cell>
        </row>
        <row r="4733">
          <cell r="G4733" t="str">
            <v>LK249I</v>
          </cell>
          <cell r="H4733" t="str">
            <v>International Engine Maintenance Kit</v>
          </cell>
        </row>
        <row r="4734">
          <cell r="G4734" t="str">
            <v>LK252C</v>
          </cell>
          <cell r="H4734" t="str">
            <v>Cummins Engine Maintenance Kit</v>
          </cell>
        </row>
        <row r="4735">
          <cell r="G4735" t="str">
            <v>LK255CA</v>
          </cell>
          <cell r="H4735" t="str">
            <v>Caterpillar Engine Maintenance Kit</v>
          </cell>
        </row>
        <row r="4736">
          <cell r="G4736" t="str">
            <v>LK256C</v>
          </cell>
          <cell r="H4736" t="str">
            <v>Cummins Engine Maintenance Kit</v>
          </cell>
        </row>
        <row r="4737">
          <cell r="G4737" t="str">
            <v>LK258C</v>
          </cell>
          <cell r="H4737" t="str">
            <v>Cummins Engine Maintenance Kit</v>
          </cell>
        </row>
        <row r="4738">
          <cell r="G4738" t="str">
            <v>LK263C</v>
          </cell>
          <cell r="H4738" t="str">
            <v>Cummins Engine Maintenance Kit</v>
          </cell>
        </row>
        <row r="4739">
          <cell r="G4739" t="str">
            <v>LK264C</v>
          </cell>
          <cell r="H4739" t="str">
            <v>Cummins Engine Maintenance Kit</v>
          </cell>
        </row>
        <row r="4740">
          <cell r="G4740" t="str">
            <v>LK269V</v>
          </cell>
          <cell r="H4740" t="str">
            <v>Volvo Engine Maintenance Kit</v>
          </cell>
        </row>
        <row r="4741">
          <cell r="G4741" t="str">
            <v>LK271V</v>
          </cell>
          <cell r="H4741" t="str">
            <v>Volvo Engine Maintenance Kit</v>
          </cell>
        </row>
        <row r="4742">
          <cell r="G4742" t="str">
            <v>LK274V</v>
          </cell>
          <cell r="H4742" t="str">
            <v>Volvo Engine Maintenance Kit</v>
          </cell>
        </row>
        <row r="4743">
          <cell r="G4743" t="str">
            <v>LK275D</v>
          </cell>
          <cell r="H4743" t="str">
            <v>Detroit Diesel Engine Maintenance Kit</v>
          </cell>
        </row>
        <row r="4744">
          <cell r="G4744" t="str">
            <v>LK277D</v>
          </cell>
          <cell r="H4744" t="str">
            <v>Detroit Diesel Engine Maintenance Kit</v>
          </cell>
        </row>
        <row r="4745">
          <cell r="G4745" t="str">
            <v>LK278D</v>
          </cell>
          <cell r="H4745" t="str">
            <v>Detroit Diesel Engine Maintenance Kit</v>
          </cell>
        </row>
        <row r="4746">
          <cell r="G4746" t="str">
            <v>LK280CA</v>
          </cell>
          <cell r="H4746" t="str">
            <v>Caterpillar Engine Maintenance Kit</v>
          </cell>
        </row>
        <row r="4747">
          <cell r="G4747" t="str">
            <v>LK281MB</v>
          </cell>
          <cell r="H4747" t="str">
            <v>Mercedes Benz Engine Maintenance Kit</v>
          </cell>
        </row>
        <row r="4748">
          <cell r="G4748" t="str">
            <v>LK283D</v>
          </cell>
          <cell r="H4748" t="str">
            <v>Detroit Diesel Engine Maintenance Kit</v>
          </cell>
        </row>
        <row r="4749">
          <cell r="G4749" t="str">
            <v>LK284CA</v>
          </cell>
          <cell r="H4749" t="str">
            <v>Caterpillar Engine Maintenance Kit</v>
          </cell>
        </row>
        <row r="4750">
          <cell r="G4750" t="str">
            <v>LK286DXL</v>
          </cell>
          <cell r="H4750" t="str">
            <v>Extended Life Detroit Diesel Engine Maintenance Kit</v>
          </cell>
        </row>
        <row r="4751">
          <cell r="G4751" t="str">
            <v>LK287V</v>
          </cell>
          <cell r="H4751" t="str">
            <v>Volvo Engine Maintenance Kit</v>
          </cell>
        </row>
        <row r="4752">
          <cell r="G4752" t="str">
            <v>LK290D</v>
          </cell>
          <cell r="H4752" t="str">
            <v>Detroit Diesel Engine Maintenance Kit</v>
          </cell>
        </row>
        <row r="4753">
          <cell r="G4753" t="str">
            <v>LK293M</v>
          </cell>
          <cell r="H4753" t="str">
            <v>Mack Engine Maintenance Kit</v>
          </cell>
        </row>
        <row r="4754">
          <cell r="G4754" t="str">
            <v>LK296V</v>
          </cell>
          <cell r="H4754" t="str">
            <v>Volvo Engine Maintenance Kit</v>
          </cell>
        </row>
        <row r="4755">
          <cell r="G4755" t="str">
            <v>LK299C</v>
          </cell>
          <cell r="H4755" t="str">
            <v>Cummins Engine Maintenance Kit</v>
          </cell>
        </row>
        <row r="4756">
          <cell r="G4756" t="str">
            <v>LK2M</v>
          </cell>
          <cell r="H4756" t="str">
            <v>Mack Engine Maintenance Kit</v>
          </cell>
        </row>
        <row r="4757">
          <cell r="G4757" t="str">
            <v>LK302DF</v>
          </cell>
          <cell r="H4757" t="str">
            <v>International Engine Maintenance Kit</v>
          </cell>
        </row>
        <row r="4758">
          <cell r="G4758" t="str">
            <v>LK304CA</v>
          </cell>
          <cell r="H4758" t="str">
            <v>Caterpillar Engine Maintenance Kit</v>
          </cell>
        </row>
        <row r="4759">
          <cell r="G4759" t="str">
            <v>LK305GM</v>
          </cell>
          <cell r="H4759" t="str">
            <v>General Motors Engine Maintenance Kit</v>
          </cell>
        </row>
        <row r="4760">
          <cell r="G4760" t="str">
            <v>LK307C</v>
          </cell>
          <cell r="H4760" t="str">
            <v>Cummins Engine Maintenance Kit</v>
          </cell>
        </row>
        <row r="4761">
          <cell r="G4761" t="str">
            <v>LK308DF</v>
          </cell>
          <cell r="H4761" t="str">
            <v>International Engine Maintenance Kit</v>
          </cell>
        </row>
        <row r="4762">
          <cell r="G4762" t="str">
            <v>LK309DF</v>
          </cell>
          <cell r="H4762" t="str">
            <v>International Engine Maintenance Kit</v>
          </cell>
        </row>
        <row r="4763">
          <cell r="G4763" t="str">
            <v>LK310DF</v>
          </cell>
          <cell r="H4763" t="str">
            <v>Cummins Engine Maintenance Kit</v>
          </cell>
        </row>
        <row r="4764">
          <cell r="G4764" t="str">
            <v>LK311DF</v>
          </cell>
          <cell r="H4764" t="str">
            <v>Cummins Engine Maintenance Kit</v>
          </cell>
        </row>
        <row r="4765">
          <cell r="G4765" t="str">
            <v>LK312DF</v>
          </cell>
          <cell r="H4765" t="str">
            <v>Cummins Engine Maintenance Kit</v>
          </cell>
        </row>
        <row r="4766">
          <cell r="G4766" t="str">
            <v>LK313DF</v>
          </cell>
          <cell r="H4766" t="str">
            <v>Cummins Engine Maintenance Kit</v>
          </cell>
        </row>
        <row r="4767">
          <cell r="G4767" t="str">
            <v>LK316D</v>
          </cell>
          <cell r="H4767" t="str">
            <v>Detroit Diesel Engine Maintenance Kit</v>
          </cell>
        </row>
        <row r="4768">
          <cell r="G4768" t="str">
            <v>LK318DF</v>
          </cell>
          <cell r="H4768" t="str">
            <v>International Engine Maintenance Kit</v>
          </cell>
        </row>
        <row r="4769">
          <cell r="G4769" t="str">
            <v>LK319DF</v>
          </cell>
          <cell r="H4769" t="str">
            <v>Detroit Diesel Engine Maintenance Kit</v>
          </cell>
        </row>
        <row r="4770">
          <cell r="G4770" t="str">
            <v>LK320DF</v>
          </cell>
          <cell r="H4770" t="str">
            <v>Detroit Diesel Engine Maintenance Kit</v>
          </cell>
        </row>
        <row r="4771">
          <cell r="G4771" t="str">
            <v>LK323DF</v>
          </cell>
          <cell r="H4771" t="str">
            <v>Mercedes Benz Engine Maintenance Kit</v>
          </cell>
        </row>
        <row r="4772">
          <cell r="G4772" t="str">
            <v>LK324DF</v>
          </cell>
          <cell r="H4772" t="str">
            <v>Mercedes Benz Engine Maintenance Kit</v>
          </cell>
        </row>
        <row r="4773">
          <cell r="G4773" t="str">
            <v>LK325DF</v>
          </cell>
          <cell r="H4773" t="str">
            <v>Detroit Diesel Engine Maintenance Kit</v>
          </cell>
        </row>
        <row r="4774">
          <cell r="G4774" t="str">
            <v>LK326DF</v>
          </cell>
          <cell r="H4774" t="str">
            <v>Cummins Engine Maintenance Kit</v>
          </cell>
        </row>
        <row r="4775">
          <cell r="G4775" t="str">
            <v>LK328DF</v>
          </cell>
          <cell r="H4775" t="str">
            <v>Thermo King Engine Maintenance Kit</v>
          </cell>
        </row>
        <row r="4776">
          <cell r="G4776" t="str">
            <v>LK330DF</v>
          </cell>
          <cell r="H4776" t="str">
            <v>International Engine Maintenance Kit</v>
          </cell>
        </row>
        <row r="4777">
          <cell r="G4777" t="str">
            <v>LK331DF</v>
          </cell>
          <cell r="H4777" t="str">
            <v>International Engine Maintenance Kit</v>
          </cell>
        </row>
        <row r="4778">
          <cell r="G4778" t="str">
            <v>LK332DF</v>
          </cell>
          <cell r="H4778" t="str">
            <v>Mack Engine Maintenance Kit</v>
          </cell>
        </row>
        <row r="4779">
          <cell r="G4779" t="str">
            <v>LK333DF</v>
          </cell>
          <cell r="H4779" t="str">
            <v>Mack Engine Maintenance Kit</v>
          </cell>
        </row>
        <row r="4780">
          <cell r="G4780" t="str">
            <v>LK334DF</v>
          </cell>
          <cell r="H4780" t="str">
            <v>Mack Engine Maintenance Kit</v>
          </cell>
        </row>
        <row r="4781">
          <cell r="G4781" t="str">
            <v>LK335DF</v>
          </cell>
          <cell r="H4781" t="str">
            <v>Thermo King Engine Maintenance Kit</v>
          </cell>
        </row>
        <row r="4782">
          <cell r="G4782" t="str">
            <v>LK336DF</v>
          </cell>
          <cell r="H4782" t="str">
            <v>Thermo King Engine Maintenance Kit</v>
          </cell>
        </row>
        <row r="4783">
          <cell r="G4783" t="str">
            <v>LK337DF</v>
          </cell>
          <cell r="H4783" t="str">
            <v>Cummins Engine Maintenance Kit</v>
          </cell>
        </row>
        <row r="4784">
          <cell r="G4784" t="str">
            <v>LK340C</v>
          </cell>
          <cell r="H4784" t="str">
            <v>Cummins Engine Maintenance Kit</v>
          </cell>
        </row>
        <row r="4785">
          <cell r="G4785" t="str">
            <v>LK343DXL</v>
          </cell>
          <cell r="H4785" t="str">
            <v>Extended Life Detroit Diesel Engine Maintenance Kit</v>
          </cell>
        </row>
        <row r="4786">
          <cell r="G4786" t="str">
            <v>LK346M</v>
          </cell>
          <cell r="H4786" t="str">
            <v>Mack Engine Maintenance Kit</v>
          </cell>
        </row>
        <row r="4787">
          <cell r="G4787" t="str">
            <v>LK352CA</v>
          </cell>
          <cell r="H4787" t="str">
            <v>Caterpillar Engine Maintenance Kit</v>
          </cell>
        </row>
        <row r="4788">
          <cell r="G4788" t="str">
            <v>LK353M</v>
          </cell>
          <cell r="H4788" t="str">
            <v>Mack Engine Maintenance Kit</v>
          </cell>
        </row>
        <row r="4789">
          <cell r="G4789" t="str">
            <v>LK354C</v>
          </cell>
          <cell r="H4789" t="str">
            <v>Cummins Engine Maintenance Kit</v>
          </cell>
        </row>
        <row r="4790">
          <cell r="G4790" t="str">
            <v>LK355DF</v>
          </cell>
          <cell r="H4790" t="str">
            <v>International Engine Maintenance Kit</v>
          </cell>
        </row>
        <row r="4791">
          <cell r="G4791" t="str">
            <v>LK356DF</v>
          </cell>
          <cell r="H4791" t="str">
            <v>Cummins Engine Maintenance Kit</v>
          </cell>
        </row>
        <row r="4792">
          <cell r="G4792" t="str">
            <v>LK358DF</v>
          </cell>
          <cell r="H4792" t="str">
            <v>Mercedes Benz Engine Maintenance Kit</v>
          </cell>
        </row>
        <row r="4793">
          <cell r="G4793" t="str">
            <v>LK359DF</v>
          </cell>
          <cell r="H4793" t="str">
            <v>International Engine Maintenance Kit</v>
          </cell>
        </row>
        <row r="4794">
          <cell r="G4794" t="str">
            <v>LK360DF</v>
          </cell>
          <cell r="H4794" t="str">
            <v>International Engine Maintenance Kit</v>
          </cell>
        </row>
        <row r="4795">
          <cell r="G4795" t="str">
            <v>LK361CA</v>
          </cell>
          <cell r="H4795" t="str">
            <v>Caterpillar Engine Maintenance Kit</v>
          </cell>
        </row>
        <row r="4796">
          <cell r="G4796" t="str">
            <v>LK365D</v>
          </cell>
          <cell r="H4796" t="str">
            <v>Detroit Diesel Maintenance kit</v>
          </cell>
        </row>
        <row r="4797">
          <cell r="G4797" t="str">
            <v>LK369C</v>
          </cell>
          <cell r="H4797" t="str">
            <v>Cummin Maintenance Kit</v>
          </cell>
        </row>
        <row r="4798">
          <cell r="G4798" t="str">
            <v>LK54CA</v>
          </cell>
          <cell r="H4798" t="str">
            <v>Caterpillar Engine Maintenance Kit</v>
          </cell>
        </row>
        <row r="4799">
          <cell r="G4799" t="str">
            <v>LK60C</v>
          </cell>
          <cell r="H4799" t="str">
            <v>Cummins Engine Maintenance Kit</v>
          </cell>
        </row>
        <row r="4800">
          <cell r="G4800" t="str">
            <v>LK69C</v>
          </cell>
          <cell r="H4800" t="str">
            <v>Cummins Engine Maintenance Kit</v>
          </cell>
        </row>
        <row r="4801">
          <cell r="G4801" t="str">
            <v>LK84C</v>
          </cell>
          <cell r="H4801" t="str">
            <v>Cummins Engine Maintenance Kit</v>
          </cell>
        </row>
        <row r="4802">
          <cell r="G4802" t="str">
            <v>LK96CA</v>
          </cell>
          <cell r="H4802" t="str">
            <v>Caterpillar Engine Maintenance Kit</v>
          </cell>
        </row>
        <row r="4803">
          <cell r="G4803" t="str">
            <v>LMB1002</v>
          </cell>
          <cell r="H4803" t="str">
            <v>Base for LFF8010 or LFP944F</v>
          </cell>
        </row>
        <row r="4804">
          <cell r="G4804" t="str">
            <v>LP112</v>
          </cell>
          <cell r="H4804" t="str">
            <v>Cartridge Oil Filter</v>
          </cell>
        </row>
        <row r="4805">
          <cell r="G4805" t="str">
            <v>LP1138</v>
          </cell>
          <cell r="H4805" t="str">
            <v>Cartridge Oil Filter</v>
          </cell>
        </row>
        <row r="4806">
          <cell r="G4806" t="str">
            <v>LP2214N</v>
          </cell>
          <cell r="H4806" t="str">
            <v>Cartridge Oil Filter</v>
          </cell>
        </row>
        <row r="4807">
          <cell r="G4807" t="str">
            <v>LP2218</v>
          </cell>
          <cell r="H4807" t="str">
            <v>Cartridge Oil Filter</v>
          </cell>
        </row>
        <row r="4808">
          <cell r="G4808" t="str">
            <v>LP2220X</v>
          </cell>
          <cell r="H4808" t="str">
            <v>Cartridge Oil Filter</v>
          </cell>
        </row>
        <row r="4809">
          <cell r="G4809" t="str">
            <v>LP2220Z</v>
          </cell>
          <cell r="H4809" t="str">
            <v>Cartridge Oil Filter</v>
          </cell>
        </row>
        <row r="4810">
          <cell r="G4810" t="str">
            <v>LP2266</v>
          </cell>
          <cell r="H4810" t="str">
            <v>Cartridge Oil Filter</v>
          </cell>
        </row>
        <row r="4811">
          <cell r="G4811" t="str">
            <v>LP2278</v>
          </cell>
          <cell r="H4811" t="str">
            <v>Spin-on Oil Filter</v>
          </cell>
        </row>
        <row r="4812">
          <cell r="G4812" t="str">
            <v>LP2280</v>
          </cell>
          <cell r="H4812" t="str">
            <v>Cartridge Hydraulic Filter</v>
          </cell>
        </row>
        <row r="4813">
          <cell r="G4813" t="str">
            <v>LP2328</v>
          </cell>
          <cell r="H4813" t="str">
            <v>Cartridge Oil Filter</v>
          </cell>
        </row>
        <row r="4814">
          <cell r="G4814" t="str">
            <v>LP3361</v>
          </cell>
          <cell r="H4814" t="str">
            <v>Cartridge Hydraulic Filter</v>
          </cell>
        </row>
        <row r="4815">
          <cell r="G4815" t="str">
            <v>LP3362</v>
          </cell>
          <cell r="H4815" t="str">
            <v>Cartridge Oil Filter</v>
          </cell>
        </row>
        <row r="4816">
          <cell r="G4816" t="str">
            <v>LP4083</v>
          </cell>
          <cell r="H4816" t="str">
            <v>Cartridge Centrifugal Oil Filter</v>
          </cell>
        </row>
        <row r="4817">
          <cell r="G4817" t="str">
            <v>LP4413</v>
          </cell>
          <cell r="H4817" t="str">
            <v>Cartridge Oil Filter</v>
          </cell>
        </row>
        <row r="4818">
          <cell r="G4818" t="str">
            <v>LP4429</v>
          </cell>
          <cell r="H4818" t="str">
            <v>Cartridge Hydraulic Filter</v>
          </cell>
        </row>
        <row r="4819">
          <cell r="G4819" t="str">
            <v>LP4433</v>
          </cell>
          <cell r="H4819" t="str">
            <v>Cartridge Hydraulic Filter</v>
          </cell>
        </row>
        <row r="4820">
          <cell r="G4820" t="str">
            <v>LP4452</v>
          </cell>
          <cell r="H4820" t="str">
            <v>Cartridge Oil Filter</v>
          </cell>
        </row>
        <row r="4821">
          <cell r="G4821" t="str">
            <v>LP4453</v>
          </cell>
          <cell r="H4821" t="str">
            <v>Cartridge Hydraulic Filter</v>
          </cell>
        </row>
        <row r="4822">
          <cell r="G4822" t="str">
            <v>LP4460</v>
          </cell>
          <cell r="H4822" t="str">
            <v>Cartridge Oil Filter</v>
          </cell>
        </row>
        <row r="4823">
          <cell r="G4823" t="str">
            <v>LP5043</v>
          </cell>
          <cell r="H4823" t="str">
            <v>Cartridge Oil Filter</v>
          </cell>
        </row>
        <row r="4824">
          <cell r="G4824" t="str">
            <v>LP5578</v>
          </cell>
          <cell r="H4824" t="str">
            <v>Cartridge Oil Filter</v>
          </cell>
        </row>
        <row r="4825">
          <cell r="G4825" t="str">
            <v>LP5777</v>
          </cell>
          <cell r="H4825" t="str">
            <v>Cartridge Oil Filter</v>
          </cell>
        </row>
        <row r="4826">
          <cell r="G4826" t="str">
            <v>LP5900</v>
          </cell>
          <cell r="H4826" t="str">
            <v>Cartridge Oil Filter</v>
          </cell>
        </row>
        <row r="4827">
          <cell r="G4827" t="str">
            <v>LP5903</v>
          </cell>
          <cell r="H4827" t="str">
            <v>Cartridge Oil Filter</v>
          </cell>
        </row>
        <row r="4828">
          <cell r="G4828" t="str">
            <v>LP5952</v>
          </cell>
          <cell r="H4828" t="str">
            <v>Cartridge Oil Filter</v>
          </cell>
        </row>
        <row r="4829">
          <cell r="G4829" t="str">
            <v>LP614</v>
          </cell>
          <cell r="H4829" t="str">
            <v>Cartridge Oil Filter</v>
          </cell>
        </row>
        <row r="4830">
          <cell r="G4830" t="str">
            <v>LP7518</v>
          </cell>
          <cell r="H4830" t="str">
            <v>Cartridge Oil Filter</v>
          </cell>
        </row>
        <row r="4831">
          <cell r="G4831" t="str">
            <v>LP798</v>
          </cell>
          <cell r="H4831" t="str">
            <v>Cartridge Oil Filter</v>
          </cell>
        </row>
        <row r="4832">
          <cell r="G4832" t="str">
            <v>LP8106</v>
          </cell>
          <cell r="H4832" t="str">
            <v>Cartridge Oil Filter</v>
          </cell>
        </row>
        <row r="4833">
          <cell r="G4833" t="str">
            <v>LP8107</v>
          </cell>
          <cell r="H4833" t="str">
            <v>Cartridge Oil Filter</v>
          </cell>
        </row>
        <row r="4834">
          <cell r="G4834" t="str">
            <v>LP8214</v>
          </cell>
          <cell r="H4834" t="str">
            <v>Cartridge Hydraulic Filter</v>
          </cell>
        </row>
        <row r="4835">
          <cell r="G4835" t="str">
            <v>LP8290</v>
          </cell>
          <cell r="H4835" t="str">
            <v>Cartridge Hydraulic Filter</v>
          </cell>
        </row>
        <row r="4836">
          <cell r="G4836" t="str">
            <v>LP8317</v>
          </cell>
          <cell r="H4836" t="str">
            <v>Cartridge Oil Filter</v>
          </cell>
        </row>
        <row r="4837">
          <cell r="G4837" t="str">
            <v>LP8334</v>
          </cell>
          <cell r="H4837" t="str">
            <v>Cartridge Oil Filter</v>
          </cell>
        </row>
        <row r="4838">
          <cell r="G4838" t="str">
            <v>LP8346</v>
          </cell>
          <cell r="H4838" t="str">
            <v>Cartridge Oil Filter</v>
          </cell>
        </row>
        <row r="4839">
          <cell r="G4839" t="str">
            <v>LP8347</v>
          </cell>
          <cell r="H4839" t="str">
            <v>Cartridge Oil Filter</v>
          </cell>
        </row>
        <row r="4840">
          <cell r="G4840" t="str">
            <v>LP8413</v>
          </cell>
          <cell r="H4840" t="str">
            <v>Cartridge Hydraulic Filter</v>
          </cell>
        </row>
        <row r="4841">
          <cell r="G4841" t="str">
            <v>LP8447</v>
          </cell>
          <cell r="H4841" t="str">
            <v>Cartridge Hydraulic Filter</v>
          </cell>
        </row>
        <row r="4842">
          <cell r="G4842" t="str">
            <v>LP8466</v>
          </cell>
          <cell r="H4842" t="str">
            <v>Cartridge Hydraulic Filter</v>
          </cell>
        </row>
        <row r="4843">
          <cell r="G4843" t="str">
            <v>LP8467</v>
          </cell>
          <cell r="H4843" t="str">
            <v>Cartridge Oil Filter</v>
          </cell>
        </row>
        <row r="4844">
          <cell r="G4844" t="str">
            <v>LP8472</v>
          </cell>
          <cell r="H4844" t="str">
            <v>Cartridge Hydraulic Filter</v>
          </cell>
        </row>
        <row r="4845">
          <cell r="G4845" t="str">
            <v>LP8511</v>
          </cell>
          <cell r="H4845" t="str">
            <v>Cartridge Oil Filter</v>
          </cell>
        </row>
        <row r="4846">
          <cell r="G4846" t="str">
            <v>LP8556</v>
          </cell>
          <cell r="H4846" t="str">
            <v>Cartridge Oil Filter</v>
          </cell>
        </row>
        <row r="4847">
          <cell r="G4847" t="str">
            <v>LP8723</v>
          </cell>
          <cell r="H4847" t="str">
            <v>Cartridge Oil Filter</v>
          </cell>
        </row>
        <row r="4848">
          <cell r="G4848" t="str">
            <v>LP8724</v>
          </cell>
          <cell r="H4848" t="str">
            <v>Cartridge Oil Filter</v>
          </cell>
        </row>
        <row r="4849">
          <cell r="G4849" t="str">
            <v>LP8912</v>
          </cell>
          <cell r="H4849" t="str">
            <v>Cartridge Oil Filter</v>
          </cell>
        </row>
        <row r="4850">
          <cell r="G4850" t="str">
            <v>LP8941</v>
          </cell>
          <cell r="H4850" t="str">
            <v>Cartridge Oil Filter</v>
          </cell>
        </row>
        <row r="4851">
          <cell r="G4851" t="str">
            <v>LP970-25</v>
          </cell>
          <cell r="H4851" t="str">
            <v>Cartridge Oil Filter</v>
          </cell>
        </row>
        <row r="4852">
          <cell r="G4852" t="str">
            <v>LTTK55</v>
          </cell>
          <cell r="H4852" t="str">
            <v>750C to 750CT Converstion Kit</v>
          </cell>
        </row>
        <row r="4853">
          <cell r="G4853" t="str">
            <v>LWG4864</v>
          </cell>
          <cell r="H4853" t="str">
            <v>Gasket</v>
          </cell>
        </row>
        <row r="4854">
          <cell r="G4854" t="str">
            <v>P1070</v>
          </cell>
          <cell r="H4854" t="str">
            <v>Cartridge Oil Filter</v>
          </cell>
        </row>
        <row r="4855">
          <cell r="G4855" t="str">
            <v>P128</v>
          </cell>
          <cell r="H4855" t="str">
            <v>Cartridge Oil Filter</v>
          </cell>
        </row>
        <row r="4856">
          <cell r="G4856" t="str">
            <v>P22065</v>
          </cell>
          <cell r="H4856" t="str">
            <v>Cartridge Oil Filter</v>
          </cell>
        </row>
        <row r="4857">
          <cell r="G4857" t="str">
            <v>P22066</v>
          </cell>
          <cell r="H4857" t="str">
            <v>Cartridge Oil Filter</v>
          </cell>
        </row>
        <row r="4858">
          <cell r="G4858" t="str">
            <v>P22075</v>
          </cell>
          <cell r="H4858" t="str">
            <v>Cartridge Oil Filter</v>
          </cell>
        </row>
        <row r="4859">
          <cell r="G4859" t="str">
            <v>P3723</v>
          </cell>
          <cell r="H4859" t="str">
            <v>Cartridge Oil Filter</v>
          </cell>
        </row>
        <row r="4860">
          <cell r="G4860" t="str">
            <v>P7001</v>
          </cell>
          <cell r="H4860" t="str">
            <v>Cartridge Oil Filter</v>
          </cell>
        </row>
        <row r="4861">
          <cell r="G4861" t="str">
            <v>P7012</v>
          </cell>
          <cell r="H4861" t="str">
            <v>Cartridge Oil Filter</v>
          </cell>
        </row>
        <row r="4862">
          <cell r="G4862" t="str">
            <v>P7019</v>
          </cell>
          <cell r="H4862" t="str">
            <v>Cartridge Oil Filter</v>
          </cell>
        </row>
        <row r="4863">
          <cell r="G4863" t="str">
            <v>P7029</v>
          </cell>
          <cell r="H4863" t="str">
            <v>HD Product</v>
          </cell>
        </row>
        <row r="4864">
          <cell r="G4864" t="str">
            <v>P771</v>
          </cell>
          <cell r="H4864" t="str">
            <v>Cartridge Oil Filter</v>
          </cell>
        </row>
        <row r="4865">
          <cell r="G4865" t="str">
            <v>PC101</v>
          </cell>
          <cell r="H4865" t="str">
            <v>PCV Valve</v>
          </cell>
        </row>
        <row r="4866">
          <cell r="G4866" t="str">
            <v>PC102</v>
          </cell>
          <cell r="H4866" t="str">
            <v>PCV Valve</v>
          </cell>
        </row>
        <row r="4867">
          <cell r="G4867" t="str">
            <v>PC103</v>
          </cell>
          <cell r="H4867" t="str">
            <v>PCV Valve</v>
          </cell>
        </row>
        <row r="4868">
          <cell r="G4868" t="str">
            <v>PC107</v>
          </cell>
          <cell r="H4868" t="str">
            <v>PCV Valve</v>
          </cell>
        </row>
        <row r="4869">
          <cell r="G4869" t="str">
            <v>PC108</v>
          </cell>
          <cell r="H4869" t="str">
            <v>PCV Valve</v>
          </cell>
        </row>
        <row r="4870">
          <cell r="G4870" t="str">
            <v>PC112</v>
          </cell>
          <cell r="H4870" t="str">
            <v>PCV Valve</v>
          </cell>
        </row>
        <row r="4871">
          <cell r="G4871" t="str">
            <v>PC114</v>
          </cell>
          <cell r="H4871" t="str">
            <v>PCV Valve</v>
          </cell>
        </row>
        <row r="4872">
          <cell r="G4872" t="str">
            <v>PC115</v>
          </cell>
          <cell r="H4872" t="str">
            <v>PCV Valve</v>
          </cell>
        </row>
        <row r="4873">
          <cell r="G4873" t="str">
            <v>PC116</v>
          </cell>
          <cell r="H4873" t="str">
            <v>PCV Valve</v>
          </cell>
        </row>
        <row r="4874">
          <cell r="G4874" t="str">
            <v>PC117</v>
          </cell>
          <cell r="H4874" t="str">
            <v>PCV Valve</v>
          </cell>
        </row>
        <row r="4875">
          <cell r="G4875" t="str">
            <v>PC118</v>
          </cell>
          <cell r="H4875" t="str">
            <v>PCV Valve</v>
          </cell>
        </row>
        <row r="4876">
          <cell r="G4876" t="str">
            <v>PC119</v>
          </cell>
          <cell r="H4876" t="str">
            <v>PCV Valve</v>
          </cell>
        </row>
        <row r="4877">
          <cell r="G4877" t="str">
            <v>PC122</v>
          </cell>
          <cell r="H4877" t="str">
            <v>PCV Valve</v>
          </cell>
        </row>
        <row r="4878">
          <cell r="G4878" t="str">
            <v>PC124</v>
          </cell>
          <cell r="H4878" t="str">
            <v>PCV Valve</v>
          </cell>
        </row>
        <row r="4879">
          <cell r="G4879" t="str">
            <v>PC127</v>
          </cell>
          <cell r="H4879" t="str">
            <v>PCV Valve</v>
          </cell>
        </row>
        <row r="4880">
          <cell r="G4880" t="str">
            <v>PC128</v>
          </cell>
          <cell r="H4880" t="str">
            <v>PCV Valve</v>
          </cell>
        </row>
        <row r="4881">
          <cell r="G4881" t="str">
            <v>PC129</v>
          </cell>
          <cell r="H4881" t="str">
            <v>PCV Valve</v>
          </cell>
        </row>
        <row r="4882">
          <cell r="G4882" t="str">
            <v>PC130</v>
          </cell>
          <cell r="H4882" t="str">
            <v>PCV Valve</v>
          </cell>
        </row>
        <row r="4883">
          <cell r="G4883" t="str">
            <v>PC133</v>
          </cell>
          <cell r="H4883" t="str">
            <v>PCV Valve</v>
          </cell>
        </row>
        <row r="4884">
          <cell r="G4884" t="str">
            <v>PC134</v>
          </cell>
          <cell r="H4884" t="str">
            <v>PCV Valve</v>
          </cell>
        </row>
        <row r="4885">
          <cell r="G4885" t="str">
            <v>PC137</v>
          </cell>
          <cell r="H4885" t="str">
            <v>PCV Valve</v>
          </cell>
        </row>
        <row r="4886">
          <cell r="G4886" t="str">
            <v>PC146</v>
          </cell>
          <cell r="H4886" t="str">
            <v>PCV Valve</v>
          </cell>
        </row>
        <row r="4887">
          <cell r="G4887" t="str">
            <v>PC147</v>
          </cell>
          <cell r="H4887" t="str">
            <v>PCV Valve</v>
          </cell>
        </row>
        <row r="4888">
          <cell r="G4888" t="str">
            <v>PC170</v>
          </cell>
          <cell r="H4888" t="str">
            <v>PCV Valve</v>
          </cell>
        </row>
        <row r="4889">
          <cell r="G4889" t="str">
            <v>PC171</v>
          </cell>
          <cell r="H4889" t="str">
            <v>PCV Valve</v>
          </cell>
        </row>
        <row r="4890">
          <cell r="G4890" t="str">
            <v>PC174</v>
          </cell>
          <cell r="H4890" t="str">
            <v>PCV Valve</v>
          </cell>
        </row>
        <row r="4891">
          <cell r="G4891" t="str">
            <v>PC182</v>
          </cell>
          <cell r="H4891" t="str">
            <v>PCV Valve</v>
          </cell>
        </row>
        <row r="4892">
          <cell r="G4892" t="str">
            <v>PC186</v>
          </cell>
          <cell r="H4892" t="str">
            <v>PCV Valve</v>
          </cell>
        </row>
        <row r="4893">
          <cell r="G4893" t="str">
            <v>PC189</v>
          </cell>
          <cell r="H4893" t="str">
            <v>PCV Valve</v>
          </cell>
        </row>
        <row r="4894">
          <cell r="G4894" t="str">
            <v>PC192</v>
          </cell>
          <cell r="H4894" t="str">
            <v>PCV Valve</v>
          </cell>
        </row>
        <row r="4895">
          <cell r="G4895" t="str">
            <v>PC195</v>
          </cell>
          <cell r="H4895" t="str">
            <v>PCV Valve</v>
          </cell>
        </row>
        <row r="4896">
          <cell r="G4896" t="str">
            <v>PC202</v>
          </cell>
          <cell r="H4896" t="str">
            <v>PCV Valve</v>
          </cell>
        </row>
        <row r="4897">
          <cell r="G4897" t="str">
            <v>PC212</v>
          </cell>
          <cell r="H4897" t="str">
            <v>PCV Valve</v>
          </cell>
        </row>
        <row r="4898">
          <cell r="G4898" t="str">
            <v>PC219</v>
          </cell>
          <cell r="H4898" t="str">
            <v>PCV Valve</v>
          </cell>
        </row>
        <row r="4899">
          <cell r="G4899" t="str">
            <v>PC220</v>
          </cell>
          <cell r="H4899" t="str">
            <v>PCV Valve</v>
          </cell>
        </row>
        <row r="4900">
          <cell r="G4900" t="str">
            <v>PC230</v>
          </cell>
          <cell r="H4900" t="str">
            <v>PCV Valve</v>
          </cell>
        </row>
        <row r="4901">
          <cell r="G4901" t="str">
            <v>PC233</v>
          </cell>
          <cell r="H4901" t="str">
            <v>PCV Valve</v>
          </cell>
        </row>
        <row r="4902">
          <cell r="G4902" t="str">
            <v>PC235</v>
          </cell>
          <cell r="H4902" t="str">
            <v>PCV Valve</v>
          </cell>
        </row>
        <row r="4903">
          <cell r="G4903" t="str">
            <v>PC237</v>
          </cell>
          <cell r="H4903" t="str">
            <v>PCV Valve</v>
          </cell>
        </row>
        <row r="4904">
          <cell r="G4904" t="str">
            <v>PC239</v>
          </cell>
          <cell r="H4904" t="str">
            <v>PCV Valve</v>
          </cell>
        </row>
        <row r="4905">
          <cell r="G4905" t="str">
            <v>PC264</v>
          </cell>
          <cell r="H4905" t="str">
            <v>PCV Valve</v>
          </cell>
        </row>
        <row r="4906">
          <cell r="G4906" t="str">
            <v>PC275</v>
          </cell>
          <cell r="H4906" t="str">
            <v>PCV Valve</v>
          </cell>
        </row>
        <row r="4907">
          <cell r="G4907" t="str">
            <v>PC283</v>
          </cell>
          <cell r="H4907" t="str">
            <v>PCV Valve</v>
          </cell>
        </row>
        <row r="4908">
          <cell r="G4908" t="str">
            <v>PC33</v>
          </cell>
          <cell r="H4908" t="str">
            <v>PCV Valve</v>
          </cell>
        </row>
        <row r="4909">
          <cell r="G4909" t="str">
            <v>PC336</v>
          </cell>
          <cell r="H4909" t="str">
            <v>PCV Valve</v>
          </cell>
        </row>
        <row r="4910">
          <cell r="G4910" t="str">
            <v>PC338</v>
          </cell>
          <cell r="H4910" t="str">
            <v>PCV Valve</v>
          </cell>
        </row>
        <row r="4911">
          <cell r="G4911" t="str">
            <v>PC345</v>
          </cell>
          <cell r="H4911" t="str">
            <v>PCV Valve</v>
          </cell>
        </row>
        <row r="4912">
          <cell r="G4912" t="str">
            <v>PC365</v>
          </cell>
          <cell r="H4912" t="str">
            <v>PCV Valve</v>
          </cell>
        </row>
        <row r="4913">
          <cell r="G4913" t="str">
            <v>PC384</v>
          </cell>
          <cell r="H4913" t="str">
            <v>PCV Valve</v>
          </cell>
        </row>
        <row r="4914">
          <cell r="G4914" t="str">
            <v>PC406</v>
          </cell>
          <cell r="H4914" t="str">
            <v>PCV Valve</v>
          </cell>
        </row>
        <row r="4915">
          <cell r="G4915" t="str">
            <v>PC410</v>
          </cell>
          <cell r="H4915" t="str">
            <v>PCV Valve</v>
          </cell>
        </row>
        <row r="4916">
          <cell r="G4916" t="str">
            <v>PC413</v>
          </cell>
          <cell r="H4916" t="str">
            <v>PCV Valve</v>
          </cell>
        </row>
        <row r="4917">
          <cell r="G4917" t="str">
            <v>PC429</v>
          </cell>
          <cell r="H4917" t="str">
            <v>PCV Valve</v>
          </cell>
        </row>
        <row r="4918">
          <cell r="G4918" t="str">
            <v>PC437</v>
          </cell>
          <cell r="H4918" t="str">
            <v>PCV Valve</v>
          </cell>
        </row>
        <row r="4919">
          <cell r="G4919" t="str">
            <v>PC54</v>
          </cell>
          <cell r="H4919" t="str">
            <v>PCV Valve</v>
          </cell>
        </row>
        <row r="4920">
          <cell r="G4920" t="str">
            <v>PC70</v>
          </cell>
          <cell r="H4920" t="str">
            <v>PCV Valve</v>
          </cell>
        </row>
        <row r="4921">
          <cell r="G4921" t="str">
            <v>PC73</v>
          </cell>
          <cell r="H4921" t="str">
            <v>PCV Valve</v>
          </cell>
        </row>
        <row r="4922">
          <cell r="G4922" t="str">
            <v>PC741</v>
          </cell>
          <cell r="H4922" t="str">
            <v>PCV Valve</v>
          </cell>
        </row>
        <row r="4923">
          <cell r="G4923" t="str">
            <v>PC75</v>
          </cell>
          <cell r="H4923" t="str">
            <v>PCV Valve</v>
          </cell>
        </row>
        <row r="4924">
          <cell r="G4924" t="str">
            <v>PC754</v>
          </cell>
          <cell r="H4924" t="str">
            <v>PCV Valve</v>
          </cell>
        </row>
        <row r="4925">
          <cell r="G4925" t="str">
            <v>PC79</v>
          </cell>
          <cell r="H4925" t="str">
            <v>PCV Valve</v>
          </cell>
        </row>
        <row r="4926">
          <cell r="G4926" t="str">
            <v>PC793</v>
          </cell>
          <cell r="H4926" t="str">
            <v>PCV Valve</v>
          </cell>
        </row>
        <row r="4927">
          <cell r="G4927" t="str">
            <v>PC80</v>
          </cell>
          <cell r="H4927" t="str">
            <v>PCV Valve</v>
          </cell>
        </row>
        <row r="4928">
          <cell r="G4928" t="str">
            <v>PC81</v>
          </cell>
          <cell r="H4928" t="str">
            <v>PCV Valve</v>
          </cell>
        </row>
        <row r="4929">
          <cell r="G4929" t="str">
            <v>PC82</v>
          </cell>
          <cell r="H4929" t="str">
            <v>PCV Valve</v>
          </cell>
        </row>
        <row r="4930">
          <cell r="G4930" t="str">
            <v>PC83</v>
          </cell>
          <cell r="H4930" t="str">
            <v>PCV Valve</v>
          </cell>
        </row>
        <row r="4931">
          <cell r="G4931" t="str">
            <v>PC85</v>
          </cell>
          <cell r="H4931" t="str">
            <v>PCV Valve</v>
          </cell>
        </row>
        <row r="4932">
          <cell r="G4932" t="str">
            <v>PC86</v>
          </cell>
          <cell r="H4932" t="str">
            <v>PCV Valve</v>
          </cell>
        </row>
        <row r="4933">
          <cell r="G4933" t="str">
            <v>PC89</v>
          </cell>
          <cell r="H4933" t="str">
            <v>PCV Valve</v>
          </cell>
        </row>
        <row r="4934">
          <cell r="G4934" t="str">
            <v>PC90</v>
          </cell>
          <cell r="H4934" t="str">
            <v>PCV Valve</v>
          </cell>
        </row>
        <row r="4935">
          <cell r="G4935" t="str">
            <v>PC91</v>
          </cell>
          <cell r="H4935" t="str">
            <v>PCV Valve</v>
          </cell>
        </row>
        <row r="4936">
          <cell r="G4936" t="str">
            <v>PC93</v>
          </cell>
          <cell r="H4936" t="str">
            <v>PCV Valve</v>
          </cell>
        </row>
        <row r="4937">
          <cell r="G4937" t="str">
            <v>PC94</v>
          </cell>
          <cell r="H4937" t="str">
            <v>PCV Valve</v>
          </cell>
        </row>
        <row r="4938">
          <cell r="G4938" t="str">
            <v>PC97</v>
          </cell>
          <cell r="H4938" t="str">
            <v>PCV Valve</v>
          </cell>
        </row>
        <row r="4939">
          <cell r="G4939" t="str">
            <v>PH2874</v>
          </cell>
          <cell r="H4939" t="str">
            <v>Spin-on Oil Filter</v>
          </cell>
        </row>
        <row r="4940">
          <cell r="G4940" t="str">
            <v>PH7024</v>
          </cell>
          <cell r="H4940" t="str">
            <v>Spin-on Oil Filter</v>
          </cell>
        </row>
        <row r="4941">
          <cell r="G4941" t="str">
            <v>T110</v>
          </cell>
          <cell r="H4941" t="str">
            <v>Transmission Filter Kit</v>
          </cell>
        </row>
        <row r="4942">
          <cell r="G4942" t="str">
            <v>T124</v>
          </cell>
          <cell r="H4942" t="str">
            <v>Transmission Filter Kit</v>
          </cell>
        </row>
        <row r="4943">
          <cell r="G4943" t="str">
            <v>T138</v>
          </cell>
          <cell r="H4943" t="str">
            <v>Transmission Filter Kit</v>
          </cell>
        </row>
        <row r="4944">
          <cell r="G4944" t="str">
            <v>T141</v>
          </cell>
          <cell r="H4944" t="str">
            <v>Transmission Filter Kit</v>
          </cell>
        </row>
        <row r="4945">
          <cell r="G4945" t="str">
            <v>T157</v>
          </cell>
          <cell r="H4945" t="str">
            <v>LUBER-FINER TRANSMISSION FLTR</v>
          </cell>
        </row>
        <row r="4946">
          <cell r="G4946" t="str">
            <v>T159</v>
          </cell>
          <cell r="H4946" t="str">
            <v>LUBER-FINER TRANSMISSION FLTR</v>
          </cell>
        </row>
        <row r="4947">
          <cell r="G4947" t="str">
            <v>T162</v>
          </cell>
          <cell r="H4947" t="str">
            <v>LUBER-FINER TRANSMISSION FLTR</v>
          </cell>
        </row>
        <row r="4948">
          <cell r="G4948" t="str">
            <v>T170</v>
          </cell>
          <cell r="H4948" t="str">
            <v>LUBER-FINER TRANSMISSION FLTR</v>
          </cell>
        </row>
        <row r="4949">
          <cell r="G4949" t="str">
            <v>T175</v>
          </cell>
          <cell r="H4949" t="str">
            <v>LUBER-FINER TRANSMISSION FLTR</v>
          </cell>
        </row>
        <row r="4950">
          <cell r="G4950" t="str">
            <v>T185</v>
          </cell>
          <cell r="H4950" t="str">
            <v>LUBER-FINER TRANSMISSION FLTR</v>
          </cell>
        </row>
        <row r="4951">
          <cell r="G4951" t="str">
            <v>T186</v>
          </cell>
          <cell r="H4951" t="str">
            <v>LUBER-FINER TRANSMISSION FLTR</v>
          </cell>
        </row>
        <row r="4952">
          <cell r="G4952" t="str">
            <v>T188</v>
          </cell>
          <cell r="H4952" t="str">
            <v>LUBER-FINER TRANSMISSION FLTR</v>
          </cell>
        </row>
        <row r="4953">
          <cell r="G4953" t="str">
            <v>T236</v>
          </cell>
          <cell r="H4953" t="str">
            <v>LUBER-FINER TRANSMISSION FLT</v>
          </cell>
        </row>
        <row r="4954">
          <cell r="G4954" t="str">
            <v>T414</v>
          </cell>
          <cell r="H4954" t="str">
            <v>LUBER-FINER TRANSMISSION FLTR</v>
          </cell>
        </row>
        <row r="4955">
          <cell r="G4955" t="str">
            <v>T529</v>
          </cell>
          <cell r="H4955" t="str">
            <v>LUBER-FINER TRANSMISSION FLTR</v>
          </cell>
        </row>
        <row r="4956">
          <cell r="G4956" t="str">
            <v>T628</v>
          </cell>
          <cell r="H4956" t="str">
            <v>LUBER-FINER TRANSMISSION FLTR</v>
          </cell>
        </row>
        <row r="4957">
          <cell r="G4957" t="str">
            <v>T630</v>
          </cell>
          <cell r="H4957" t="str">
            <v>LUBER-FINER TRANSMISSION FLTR</v>
          </cell>
        </row>
        <row r="4958">
          <cell r="G4958" t="str">
            <v>T655</v>
          </cell>
          <cell r="H4958" t="str">
            <v>Transmission Filter Kit</v>
          </cell>
        </row>
        <row r="4959">
          <cell r="G4959" t="str">
            <v>T690</v>
          </cell>
          <cell r="H4959" t="str">
            <v>Transmission Filter Kit</v>
          </cell>
        </row>
        <row r="4960">
          <cell r="G4960" t="str">
            <v>T716</v>
          </cell>
          <cell r="H4960" t="str">
            <v>LUBER-FINER TRANSMISSION FLTR</v>
          </cell>
        </row>
        <row r="4961">
          <cell r="G4961" t="str">
            <v>T719</v>
          </cell>
          <cell r="H4961" t="str">
            <v>Transmission Filter</v>
          </cell>
        </row>
        <row r="4962">
          <cell r="G4962" t="str">
            <v>T722</v>
          </cell>
          <cell r="H4962" t="str">
            <v>Transmission Filter Kit</v>
          </cell>
        </row>
        <row r="4963">
          <cell r="G4963" t="str">
            <v>T726</v>
          </cell>
          <cell r="H4963" t="str">
            <v>Transmission Filter Kit</v>
          </cell>
        </row>
        <row r="4964">
          <cell r="G4964" t="str">
            <v>T738</v>
          </cell>
          <cell r="H4964" t="str">
            <v>Transmission Filter Kit</v>
          </cell>
        </row>
        <row r="4965">
          <cell r="G4965" t="str">
            <v>T877</v>
          </cell>
          <cell r="H4965" t="str">
            <v>Transmission Filter Kit</v>
          </cell>
        </row>
        <row r="4966">
          <cell r="G4966" t="str">
            <v>AF3957</v>
          </cell>
          <cell r="H4966" t="str">
            <v>Rigid Panel Air Filter</v>
          </cell>
        </row>
        <row r="4967">
          <cell r="G4967" t="str">
            <v>AF56</v>
          </cell>
          <cell r="H4967" t="str">
            <v>Air Filter</v>
          </cell>
        </row>
        <row r="4968">
          <cell r="G4968" t="str">
            <v>AF5983</v>
          </cell>
          <cell r="H4968" t="str">
            <v>Air Filter</v>
          </cell>
        </row>
        <row r="4969">
          <cell r="G4969" t="str">
            <v>AF661</v>
          </cell>
          <cell r="H4969" t="str">
            <v>Oval Air Filter</v>
          </cell>
        </row>
        <row r="4970">
          <cell r="G4970" t="str">
            <v>AF7855</v>
          </cell>
          <cell r="H4970" t="str">
            <v>Air Filter</v>
          </cell>
        </row>
        <row r="4971">
          <cell r="G4971" t="str">
            <v>AFB8406</v>
          </cell>
          <cell r="H4971" t="str">
            <v>Breather Filter</v>
          </cell>
        </row>
        <row r="4972">
          <cell r="G4972" t="str">
            <v>CAF7705</v>
          </cell>
          <cell r="H4972" t="str">
            <v>Cabin Air Filter (Carbon)</v>
          </cell>
        </row>
        <row r="4973">
          <cell r="G4973" t="str">
            <v>CAF7746</v>
          </cell>
          <cell r="H4973" t="str">
            <v>Cabin Air Filter (Carbon)</v>
          </cell>
        </row>
        <row r="4974">
          <cell r="G4974" t="str">
            <v>CAF7750</v>
          </cell>
          <cell r="H4974" t="str">
            <v>Cabin Air Filter (Carbon)</v>
          </cell>
        </row>
        <row r="4975">
          <cell r="G4975" t="str">
            <v>FW3C</v>
          </cell>
          <cell r="H4975" t="str">
            <v>End Cap Filter Removal Wrench 3" 14 flute filter.</v>
          </cell>
        </row>
        <row r="4976">
          <cell r="G4976" t="str">
            <v>G2947</v>
          </cell>
          <cell r="H4976" t="str">
            <v>In-Line Fuel Filter</v>
          </cell>
        </row>
        <row r="4977">
          <cell r="G4977" t="str">
            <v>G497</v>
          </cell>
          <cell r="H4977" t="str">
            <v>In-Line Fuel Filter</v>
          </cell>
        </row>
        <row r="4978">
          <cell r="G4978" t="str">
            <v>L6286F</v>
          </cell>
          <cell r="H4978" t="str">
            <v>Box Type Fuel Filter</v>
          </cell>
        </row>
        <row r="4979">
          <cell r="G4979" t="str">
            <v>LAF1730</v>
          </cell>
          <cell r="H4979" t="str">
            <v>HD Round Air Filter with Attached Lid</v>
          </cell>
        </row>
        <row r="4980">
          <cell r="G4980" t="str">
            <v>LAF1807</v>
          </cell>
          <cell r="H4980" t="str">
            <v>Metal-End Air Filter with Closed Top End Cap</v>
          </cell>
        </row>
        <row r="4981">
          <cell r="G4981" t="str">
            <v>LAF1969</v>
          </cell>
          <cell r="H4981" t="str">
            <v>Round Air Filter</v>
          </cell>
        </row>
        <row r="4982">
          <cell r="G4982" t="str">
            <v>LAF2738</v>
          </cell>
          <cell r="H4982" t="str">
            <v>HD Metal-End Inner Air Filter</v>
          </cell>
        </row>
        <row r="4983">
          <cell r="G4983" t="str">
            <v>LAF4205</v>
          </cell>
          <cell r="H4983" t="str">
            <v>Round Air Filter</v>
          </cell>
        </row>
        <row r="4984">
          <cell r="G4984" t="str">
            <v>LAF5801</v>
          </cell>
          <cell r="H4984" t="str">
            <v>Flexible Panel Air Filter</v>
          </cell>
        </row>
        <row r="4985">
          <cell r="G4985" t="str">
            <v>LAF8310</v>
          </cell>
          <cell r="H4985" t="str">
            <v xml:space="preserve">Round Plastisol Air Filter </v>
          </cell>
        </row>
        <row r="4986">
          <cell r="G4986" t="str">
            <v>LAF8646</v>
          </cell>
          <cell r="H4986" t="str">
            <v>Finned Vane Air Filter</v>
          </cell>
        </row>
        <row r="4987">
          <cell r="G4987" t="str">
            <v>LH11014V</v>
          </cell>
          <cell r="H4987" t="str">
            <v>Industrial Cartridge Hydraulic Filter</v>
          </cell>
        </row>
        <row r="4988">
          <cell r="G4988" t="str">
            <v>LK78D</v>
          </cell>
          <cell r="H4988" t="str">
            <v>Detroit Diesel Engine Maintenance Kit</v>
          </cell>
        </row>
        <row r="4989">
          <cell r="G4989" t="str">
            <v>P7011</v>
          </cell>
          <cell r="H4989" t="str">
            <v>Cartridge Oil Filter</v>
          </cell>
        </row>
        <row r="4990">
          <cell r="G4990" t="str">
            <v>AF105A</v>
          </cell>
          <cell r="H4990" t="str">
            <v>Round Air Filter</v>
          </cell>
        </row>
        <row r="4991">
          <cell r="G4991" t="str">
            <v>AF641</v>
          </cell>
          <cell r="H4991" t="str">
            <v>Air Filter</v>
          </cell>
        </row>
        <row r="4992">
          <cell r="G4992" t="str">
            <v>AF665</v>
          </cell>
          <cell r="H4992" t="str">
            <v>Oval Air Filter</v>
          </cell>
        </row>
        <row r="4993">
          <cell r="G4993" t="str">
            <v>AF736</v>
          </cell>
          <cell r="H4993" t="str">
            <v>Round Air Filter</v>
          </cell>
        </row>
        <row r="4994">
          <cell r="G4994" t="str">
            <v>CAF7732</v>
          </cell>
          <cell r="H4994" t="str">
            <v>Cabin Air Filter (Carbon)</v>
          </cell>
        </row>
        <row r="4995">
          <cell r="G4995" t="str">
            <v>G6303</v>
          </cell>
          <cell r="H4995" t="str">
            <v>In-Line Fuel Filter</v>
          </cell>
        </row>
        <row r="4996">
          <cell r="G4996" t="str">
            <v>G6369</v>
          </cell>
          <cell r="H4996" t="str">
            <v>In-Line Fuel Filter</v>
          </cell>
        </row>
        <row r="4997">
          <cell r="G4997" t="str">
            <v>G6563</v>
          </cell>
          <cell r="H4997" t="str">
            <v>In-Line Fuel Filter</v>
          </cell>
        </row>
        <row r="4998">
          <cell r="G4998" t="str">
            <v>G6582</v>
          </cell>
          <cell r="H4998" t="str">
            <v>In-Line Fuel Filter</v>
          </cell>
        </row>
        <row r="4999">
          <cell r="G4999" t="str">
            <v>LAF1886</v>
          </cell>
          <cell r="H4999" t="str">
            <v xml:space="preserve">HD Round Air Filter </v>
          </cell>
        </row>
        <row r="5000">
          <cell r="G5000" t="str">
            <v>LAF1937</v>
          </cell>
          <cell r="H5000" t="str">
            <v>Finned Vane Air Filter</v>
          </cell>
        </row>
        <row r="5001">
          <cell r="G5001" t="str">
            <v>LAF4317</v>
          </cell>
          <cell r="H5001" t="str">
            <v>HD Metal-End Inner Air Filter</v>
          </cell>
        </row>
        <row r="5002">
          <cell r="G5002" t="str">
            <v>LAF4361</v>
          </cell>
          <cell r="H5002" t="str">
            <v>Round Air Filter</v>
          </cell>
        </row>
        <row r="5003">
          <cell r="G5003" t="str">
            <v>LAF8605</v>
          </cell>
          <cell r="H5003" t="str">
            <v>HD Metal-End Air Filter-Inner</v>
          </cell>
        </row>
        <row r="5004">
          <cell r="G5004" t="str">
            <v>LK285C</v>
          </cell>
          <cell r="H5004" t="str">
            <v>Cummins Engine Maintenance Kit</v>
          </cell>
        </row>
        <row r="5005">
          <cell r="G5005" t="str">
            <v>LK315CA</v>
          </cell>
          <cell r="H5005" t="str">
            <v>Caterpillar Engine Maintenance Kit</v>
          </cell>
        </row>
        <row r="5006">
          <cell r="G5006" t="str">
            <v>LP212</v>
          </cell>
          <cell r="H5006" t="str">
            <v>Cartridge Oil Filter</v>
          </cell>
        </row>
        <row r="5007">
          <cell r="G5007" t="str">
            <v>AF251</v>
          </cell>
          <cell r="H5007" t="str">
            <v>Flexible Panel Air Filter</v>
          </cell>
        </row>
        <row r="5008">
          <cell r="G5008" t="str">
            <v>AF40</v>
          </cell>
          <cell r="H5008" t="str">
            <v>Round Air Filter</v>
          </cell>
        </row>
        <row r="5009">
          <cell r="G5009" t="str">
            <v>AF412</v>
          </cell>
          <cell r="H5009" t="str">
            <v>Round Air Filter</v>
          </cell>
        </row>
        <row r="5010">
          <cell r="G5010" t="str">
            <v>AF826</v>
          </cell>
          <cell r="H5010" t="str">
            <v>Round Air Filter</v>
          </cell>
        </row>
        <row r="5011">
          <cell r="G5011" t="str">
            <v>CAF24008XL</v>
          </cell>
          <cell r="H5011" t="str">
            <v>Cabin Air Filter (Carbon) Extreme Clean</v>
          </cell>
        </row>
        <row r="5012">
          <cell r="G5012" t="str">
            <v>G2985</v>
          </cell>
          <cell r="H5012" t="str">
            <v>In-Line Fuel Filter</v>
          </cell>
        </row>
        <row r="5013">
          <cell r="G5013" t="str">
            <v>G341</v>
          </cell>
          <cell r="H5013" t="str">
            <v>In-Line Fuel Filter</v>
          </cell>
        </row>
        <row r="5014">
          <cell r="G5014" t="str">
            <v>G562</v>
          </cell>
          <cell r="H5014" t="str">
            <v>In-Line Fuel Filter</v>
          </cell>
        </row>
        <row r="5015">
          <cell r="G5015" t="str">
            <v>G6371</v>
          </cell>
          <cell r="H5015" t="str">
            <v>In-Line Fuel Filter</v>
          </cell>
        </row>
        <row r="5016">
          <cell r="G5016" t="str">
            <v>L93FP</v>
          </cell>
          <cell r="H5016" t="str">
            <v>Cartridge Fuel Filter</v>
          </cell>
        </row>
        <row r="5017">
          <cell r="G5017" t="str">
            <v>LAF1949</v>
          </cell>
          <cell r="H5017" t="str">
            <v>Round Inner Air Filter</v>
          </cell>
        </row>
        <row r="5018">
          <cell r="G5018" t="str">
            <v>LAF5082</v>
          </cell>
          <cell r="H5018" t="str">
            <v>Round Inner Air Filter with Flanged Endcap</v>
          </cell>
        </row>
        <row r="5019">
          <cell r="G5019" t="str">
            <v>LAF8516</v>
          </cell>
          <cell r="H5019" t="str">
            <v>HD Metal-End Air Filter-Inner</v>
          </cell>
        </row>
        <row r="5020">
          <cell r="G5020" t="str">
            <v>LFP2274</v>
          </cell>
          <cell r="H5020" t="str">
            <v>Spin-on Oil Filter</v>
          </cell>
        </row>
        <row r="5021">
          <cell r="G5021" t="str">
            <v>LGK2</v>
          </cell>
          <cell r="H5021" t="str">
            <v>Service Gasket Kit for A922 Spin-on Conversion Kit</v>
          </cell>
        </row>
        <row r="5022">
          <cell r="G5022" t="str">
            <v>LH5739</v>
          </cell>
          <cell r="H5022" t="str">
            <v>Cartridge Hydraulic Filter</v>
          </cell>
        </row>
        <row r="5023">
          <cell r="G5023" t="str">
            <v>LH95107V</v>
          </cell>
          <cell r="H5023" t="str">
            <v>Cartridge Hydraulic Filter</v>
          </cell>
        </row>
        <row r="5024">
          <cell r="G5024" t="str">
            <v>P49</v>
          </cell>
          <cell r="H5024" t="str">
            <v>Cartridge Oil Filter</v>
          </cell>
        </row>
        <row r="5025">
          <cell r="G5025" t="str">
            <v>PC236</v>
          </cell>
          <cell r="H5025" t="str">
            <v>PCV Valve</v>
          </cell>
        </row>
        <row r="5026">
          <cell r="G5026" t="str">
            <v>AF7824</v>
          </cell>
          <cell r="H5026" t="str">
            <v>Rigid Panel Air Filter</v>
          </cell>
        </row>
        <row r="5027">
          <cell r="G5027" t="str">
            <v>LAF8389</v>
          </cell>
          <cell r="H5027" t="str">
            <v>HD Metal-End Air Filter</v>
          </cell>
        </row>
        <row r="5028">
          <cell r="G5028" t="str">
            <v>LFH5083</v>
          </cell>
          <cell r="H5028" t="str">
            <v>Spin-on Hydraulic Filter</v>
          </cell>
        </row>
        <row r="5029">
          <cell r="G5029" t="str">
            <v>LK257C</v>
          </cell>
          <cell r="H5029" t="str">
            <v>Cummins Engine Maintenance Kit</v>
          </cell>
        </row>
        <row r="5030">
          <cell r="G5030" t="str">
            <v>LK295C</v>
          </cell>
          <cell r="H5030" t="str">
            <v>Cummins Engine Maintenance Kit</v>
          </cell>
        </row>
        <row r="5031">
          <cell r="G5031" t="str">
            <v>LK306C</v>
          </cell>
          <cell r="H5031" t="str">
            <v>Cummins Engine Maintenance Kit</v>
          </cell>
        </row>
        <row r="5032">
          <cell r="G5032" t="str">
            <v>AF367</v>
          </cell>
          <cell r="H5032" t="str">
            <v>Special Configuration Air Filter</v>
          </cell>
        </row>
        <row r="5033">
          <cell r="G5033" t="str">
            <v>AF383</v>
          </cell>
          <cell r="H5033" t="str">
            <v>Flexible Panel Air Filter</v>
          </cell>
        </row>
        <row r="5034">
          <cell r="G5034" t="str">
            <v>AF633</v>
          </cell>
          <cell r="H5034" t="str">
            <v>Round Air Filter</v>
          </cell>
        </row>
        <row r="5035">
          <cell r="G5035" t="str">
            <v>AF9007</v>
          </cell>
          <cell r="H5035" t="str">
            <v>Flexible Panel Air Filter</v>
          </cell>
        </row>
        <row r="5036">
          <cell r="G5036" t="str">
            <v>LAF8526</v>
          </cell>
          <cell r="H5036" t="str">
            <v>HD Metal-End Air Filter-Inner</v>
          </cell>
        </row>
        <row r="5037">
          <cell r="G5037" t="str">
            <v>AF7861</v>
          </cell>
          <cell r="H5037" t="str">
            <v>Rigid Panel Air Filter</v>
          </cell>
        </row>
        <row r="5038">
          <cell r="G5038" t="str">
            <v>AF7949</v>
          </cell>
          <cell r="H5038" t="str">
            <v>Flexible Panel Air Filter</v>
          </cell>
        </row>
        <row r="5039">
          <cell r="G5039" t="str">
            <v>CAF24014XL</v>
          </cell>
          <cell r="H5039" t="str">
            <v>Cabin Air Filter (Carbon) Extreme Clean</v>
          </cell>
        </row>
        <row r="5040">
          <cell r="G5040" t="str">
            <v>CAF24017XL</v>
          </cell>
          <cell r="H5040" t="str">
            <v>Cabin Air Filter (Carbon) Extreme Clean</v>
          </cell>
        </row>
        <row r="5041">
          <cell r="G5041" t="str">
            <v>L8852F</v>
          </cell>
          <cell r="H5041" t="str">
            <v>Cartridge Fuel Filter</v>
          </cell>
        </row>
        <row r="5042">
          <cell r="G5042" t="str">
            <v>LAF5800</v>
          </cell>
          <cell r="H5042" t="str">
            <v>Oval Air Filter</v>
          </cell>
        </row>
        <row r="5043">
          <cell r="G5043" t="str">
            <v>LAF8203</v>
          </cell>
          <cell r="H5043" t="str">
            <v>Round Plastisol Air Filter</v>
          </cell>
        </row>
        <row r="5044">
          <cell r="G5044" t="str">
            <v>LAF8651</v>
          </cell>
          <cell r="H5044" t="str">
            <v>HD Metal-End Air Filter</v>
          </cell>
        </row>
        <row r="5045">
          <cell r="G5045" t="str">
            <v>LFF3502</v>
          </cell>
          <cell r="H5045" t="str">
            <v>Spin-on Fuel Filter</v>
          </cell>
        </row>
        <row r="5046">
          <cell r="G5046" t="str">
            <v>LAF1892</v>
          </cell>
          <cell r="H5046" t="str">
            <v>Cone Shaped Conical Air Filter</v>
          </cell>
        </row>
        <row r="5047">
          <cell r="G5047" t="str">
            <v>LFH4223XL</v>
          </cell>
          <cell r="H5047" t="str">
            <v>Extended Life Hydraulic Spin-on Filter</v>
          </cell>
        </row>
        <row r="5048">
          <cell r="G5048" t="str">
            <v>LK339C</v>
          </cell>
          <cell r="H5048" t="str">
            <v>Cummins Engine Maintenance Kit</v>
          </cell>
        </row>
        <row r="5049">
          <cell r="G5049" t="str">
            <v>AF7978</v>
          </cell>
          <cell r="H5049" t="str">
            <v>Rigid Panel Air Filter</v>
          </cell>
        </row>
        <row r="5050">
          <cell r="G5050" t="str">
            <v>G342</v>
          </cell>
          <cell r="H5050" t="str">
            <v>In-Line Fuel Filter</v>
          </cell>
        </row>
        <row r="5051">
          <cell r="G5051" t="str">
            <v>G6307</v>
          </cell>
          <cell r="H5051" t="str">
            <v>In-Line Fuel Filter</v>
          </cell>
        </row>
        <row r="5052">
          <cell r="G5052" t="str">
            <v>G6514</v>
          </cell>
          <cell r="H5052" t="str">
            <v>In-Line Fuel Filter</v>
          </cell>
        </row>
        <row r="5053">
          <cell r="G5053" t="str">
            <v>AF289</v>
          </cell>
          <cell r="H5053" t="str">
            <v>Air Filter</v>
          </cell>
        </row>
        <row r="5054">
          <cell r="G5054" t="str">
            <v>PC435</v>
          </cell>
          <cell r="H5054" t="str">
            <v>PCV Valve</v>
          </cell>
        </row>
        <row r="5055">
          <cell r="G5055" t="str">
            <v>AF88</v>
          </cell>
          <cell r="H5055" t="str">
            <v>Breather Filter</v>
          </cell>
        </row>
        <row r="5056">
          <cell r="G5056" t="str">
            <v>G6333</v>
          </cell>
          <cell r="H5056" t="str">
            <v>In-Line Fuel Filter</v>
          </cell>
        </row>
        <row r="5057">
          <cell r="G5057" t="str">
            <v>L50F</v>
          </cell>
          <cell r="H5057" t="str">
            <v>Cartridge Fuel Filter</v>
          </cell>
        </row>
        <row r="5058">
          <cell r="G5058" t="str">
            <v>LFF6962</v>
          </cell>
          <cell r="H5058" t="str">
            <v>Spin-on Fuel Water Separator Filter</v>
          </cell>
        </row>
        <row r="5059">
          <cell r="G5059" t="str">
            <v>AF361</v>
          </cell>
          <cell r="H5059" t="str">
            <v>Round Panel Air Filter</v>
          </cell>
        </row>
        <row r="5060">
          <cell r="G5060" t="str">
            <v>LH4996</v>
          </cell>
          <cell r="H5060" t="str">
            <v>Cartridge Hydraulic Filter</v>
          </cell>
        </row>
        <row r="5061">
          <cell r="G5061" t="str">
            <v>G2954</v>
          </cell>
          <cell r="H5061" t="str">
            <v>In-Line Fuel Filter</v>
          </cell>
        </row>
        <row r="5062">
          <cell r="G5062" t="str">
            <v>AF89</v>
          </cell>
          <cell r="H5062" t="str">
            <v>Breather Filter</v>
          </cell>
        </row>
        <row r="5063">
          <cell r="G5063" t="str">
            <v>LFF3368</v>
          </cell>
          <cell r="H5063" t="str">
            <v>Spin-on Fuel Filter</v>
          </cell>
        </row>
        <row r="5064">
          <cell r="G5064" t="str">
            <v>LP2225</v>
          </cell>
          <cell r="H5064" t="str">
            <v>Cartridge Oil Filter</v>
          </cell>
        </row>
        <row r="5065">
          <cell r="G5065" t="str">
            <v>AF7967</v>
          </cell>
          <cell r="H5065" t="str">
            <v>Rigid Panel Air Filter</v>
          </cell>
        </row>
        <row r="5066">
          <cell r="G5066" t="str">
            <v>AFB7846</v>
          </cell>
          <cell r="H5066" t="str">
            <v>Foam Pad</v>
          </cell>
        </row>
        <row r="5067">
          <cell r="G5067" t="str">
            <v>G2906</v>
          </cell>
          <cell r="H5067" t="str">
            <v>In-Line Fuel Filter</v>
          </cell>
        </row>
        <row r="5068">
          <cell r="G5068" t="str">
            <v>PC140</v>
          </cell>
          <cell r="H5068" t="str">
            <v>PCV Valve</v>
          </cell>
        </row>
        <row r="5069">
          <cell r="G5069" t="str">
            <v>LH4261</v>
          </cell>
          <cell r="H5069" t="str">
            <v>Cartridge Power Steering (Hydraulic) Filter</v>
          </cell>
        </row>
        <row r="5070">
          <cell r="G5070" t="str">
            <v>AF62</v>
          </cell>
          <cell r="H5070" t="str">
            <v>Vapor Cannister Filter, Foam Pad</v>
          </cell>
        </row>
        <row r="5071">
          <cell r="G5071" t="str">
            <v>LFH5004</v>
          </cell>
          <cell r="H5071" t="str">
            <v>Spin-on Hydraulic Filter</v>
          </cell>
        </row>
        <row r="5072">
          <cell r="G5072" t="str">
            <v>G6389</v>
          </cell>
          <cell r="H5072" t="str">
            <v>In-Line Fuel Filter</v>
          </cell>
        </row>
        <row r="5073">
          <cell r="G5073" t="str">
            <v>LFP911G</v>
          </cell>
          <cell r="H5073" t="str">
            <v>Extended Life Spin-on Oil Filter</v>
          </cell>
        </row>
        <row r="5074">
          <cell r="G5074" t="str">
            <v>L2020FN-2</v>
          </cell>
          <cell r="H5074" t="str">
            <v>Cartridge Fuel Filter</v>
          </cell>
        </row>
        <row r="5075">
          <cell r="G5075" t="str">
            <v>LH95279V</v>
          </cell>
          <cell r="H5075" t="str">
            <v>Cartridge Hydraulic Filter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Pricing"/>
    </sheetNames>
    <sheetDataSet>
      <sheetData sheetId="0">
        <row r="12">
          <cell r="K12" t="str">
            <v>LFP2160</v>
          </cell>
          <cell r="L12" t="str">
            <v>HD</v>
          </cell>
          <cell r="N12" t="e">
            <v>#N/A</v>
          </cell>
          <cell r="O12" t="str">
            <v>Spin-on Oil Filter</v>
          </cell>
        </row>
        <row r="13">
          <cell r="K13" t="str">
            <v>L3578FN</v>
          </cell>
          <cell r="L13" t="str">
            <v>HD</v>
          </cell>
          <cell r="N13" t="e">
            <v>#N/A</v>
          </cell>
          <cell r="O13" t="str">
            <v>Cartridge Fuel Water Separator Coalescer filter</v>
          </cell>
        </row>
        <row r="14">
          <cell r="K14" t="str">
            <v>LFP3191</v>
          </cell>
          <cell r="L14" t="str">
            <v>HD</v>
          </cell>
          <cell r="N14" t="e">
            <v>#N/A</v>
          </cell>
          <cell r="O14" t="str">
            <v>Spin-on Oil Filter</v>
          </cell>
        </row>
        <row r="15">
          <cell r="K15" t="str">
            <v>LFP4005</v>
          </cell>
          <cell r="L15" t="str">
            <v>HD</v>
          </cell>
          <cell r="N15" t="e">
            <v>#N/A</v>
          </cell>
          <cell r="O15" t="str">
            <v>Spin-on Oil Filter</v>
          </cell>
        </row>
        <row r="16">
          <cell r="K16" t="str">
            <v>LFP9001</v>
          </cell>
          <cell r="L16" t="str">
            <v>HD</v>
          </cell>
          <cell r="N16" t="e">
            <v>#N/A</v>
          </cell>
          <cell r="O16" t="str">
            <v>Spin-on Oil Filter</v>
          </cell>
        </row>
        <row r="17">
          <cell r="K17" t="str">
            <v>LFF1000</v>
          </cell>
          <cell r="L17" t="str">
            <v>HD</v>
          </cell>
          <cell r="N17" t="e">
            <v>#N/A</v>
          </cell>
          <cell r="O17" t="str">
            <v>Spin-on Fuel Filter</v>
          </cell>
        </row>
        <row r="18">
          <cell r="K18" t="str">
            <v>LFP816FN</v>
          </cell>
          <cell r="L18" t="str">
            <v>HD</v>
          </cell>
          <cell r="N18" t="e">
            <v>#N/A</v>
          </cell>
          <cell r="O18" t="str">
            <v>Secondary spin-on fuel filter</v>
          </cell>
        </row>
        <row r="19">
          <cell r="K19" t="str">
            <v>LFP3970</v>
          </cell>
          <cell r="L19" t="str">
            <v>HD</v>
          </cell>
          <cell r="N19" t="e">
            <v>#N/A</v>
          </cell>
          <cell r="O19" t="str">
            <v>Spin-on Oil Filter</v>
          </cell>
        </row>
        <row r="20">
          <cell r="K20" t="str">
            <v>LAF1849</v>
          </cell>
          <cell r="L20" t="str">
            <v>HD</v>
          </cell>
          <cell r="N20" t="e">
            <v>#N/A</v>
          </cell>
          <cell r="O20" t="str">
            <v>Radial Seal Air Filter (Primary) Filter</v>
          </cell>
        </row>
        <row r="21">
          <cell r="K21" t="str">
            <v>LFF2749</v>
          </cell>
          <cell r="L21" t="str">
            <v>HD</v>
          </cell>
          <cell r="N21" t="e">
            <v>#N/A</v>
          </cell>
          <cell r="O21" t="str">
            <v>HD Spin-on Fuel Filter</v>
          </cell>
        </row>
        <row r="22">
          <cell r="K22" t="str">
            <v>LFP8642</v>
          </cell>
          <cell r="L22" t="str">
            <v>HD</v>
          </cell>
          <cell r="N22" t="e">
            <v>#N/A</v>
          </cell>
          <cell r="O22" t="str">
            <v>Spin-on By-Pass Oil Filter</v>
          </cell>
        </row>
        <row r="23">
          <cell r="K23" t="str">
            <v>LFP815FN</v>
          </cell>
          <cell r="L23" t="str">
            <v>HD</v>
          </cell>
          <cell r="N23" t="e">
            <v>#N/A</v>
          </cell>
          <cell r="O23" t="str">
            <v>Primary Spin-on Fuel Filter</v>
          </cell>
        </row>
        <row r="24">
          <cell r="K24" t="str">
            <v>LFF8059</v>
          </cell>
          <cell r="L24" t="str">
            <v>HD</v>
          </cell>
          <cell r="N24" t="e">
            <v>#N/A</v>
          </cell>
          <cell r="O24" t="str">
            <v>Spin-on Fuel Filter</v>
          </cell>
        </row>
        <row r="25">
          <cell r="K25" t="str">
            <v>LFP3000G</v>
          </cell>
          <cell r="L25" t="str">
            <v>HD</v>
          </cell>
          <cell r="N25" t="e">
            <v>#N/A</v>
          </cell>
          <cell r="O25" t="str">
            <v>Extended Life Spin-on Oil Filter</v>
          </cell>
        </row>
        <row r="26">
          <cell r="K26" t="str">
            <v>LFF5</v>
          </cell>
          <cell r="L26" t="str">
            <v>HD</v>
          </cell>
          <cell r="N26" t="e">
            <v>#N/A</v>
          </cell>
          <cell r="O26" t="str">
            <v>Spin-on Fuel Filter</v>
          </cell>
        </row>
        <row r="27">
          <cell r="K27" t="str">
            <v>LFH8737</v>
          </cell>
          <cell r="L27" t="str">
            <v>HD</v>
          </cell>
          <cell r="N27" t="e">
            <v>#N/A</v>
          </cell>
          <cell r="O27" t="str">
            <v>Spin-on Transmission (Hydraulic) Filter</v>
          </cell>
        </row>
        <row r="28">
          <cell r="K28" t="str">
            <v>LFW4071</v>
          </cell>
          <cell r="L28" t="str">
            <v>HD</v>
          </cell>
          <cell r="N28" t="e">
            <v>#N/A</v>
          </cell>
          <cell r="O28" t="str">
            <v>Spin-on Coolant Filter</v>
          </cell>
        </row>
        <row r="29">
          <cell r="K29" t="str">
            <v>LFF5823B</v>
          </cell>
          <cell r="L29" t="str">
            <v>HD</v>
          </cell>
          <cell r="N29" t="e">
            <v>#N/A</v>
          </cell>
          <cell r="O29" t="str">
            <v>Spin-on Fuel Filter</v>
          </cell>
        </row>
        <row r="30">
          <cell r="K30" t="str">
            <v>LFF6776</v>
          </cell>
          <cell r="L30" t="str">
            <v>HD</v>
          </cell>
          <cell r="N30" t="e">
            <v>#N/A</v>
          </cell>
          <cell r="O30" t="str">
            <v>Spin-on Fuel Filter</v>
          </cell>
        </row>
        <row r="31">
          <cell r="K31" t="str">
            <v>LFP3000</v>
          </cell>
          <cell r="L31" t="str">
            <v>HD</v>
          </cell>
          <cell r="N31" t="e">
            <v>#N/A</v>
          </cell>
          <cell r="O31" t="str">
            <v>Spin-on Oil Filter</v>
          </cell>
        </row>
        <row r="32">
          <cell r="K32" t="str">
            <v>LFP3236</v>
          </cell>
          <cell r="L32" t="str">
            <v>HD</v>
          </cell>
          <cell r="N32" t="e">
            <v>#N/A</v>
          </cell>
          <cell r="O32" t="str">
            <v>Spin-on Oil Filter</v>
          </cell>
        </row>
        <row r="33">
          <cell r="K33" t="str">
            <v>LP5090</v>
          </cell>
          <cell r="L33" t="str">
            <v>HD</v>
          </cell>
          <cell r="N33" t="e">
            <v>#N/A</v>
          </cell>
          <cell r="O33" t="str">
            <v>Cartridge Oil Filter</v>
          </cell>
        </row>
        <row r="34">
          <cell r="K34" t="str">
            <v>CAF24003</v>
          </cell>
          <cell r="L34" t="str">
            <v>HD</v>
          </cell>
          <cell r="N34" t="e">
            <v>#N/A</v>
          </cell>
          <cell r="O34" t="str">
            <v>Cabin Air Filter</v>
          </cell>
        </row>
        <row r="35">
          <cell r="K35" t="str">
            <v>LFP780</v>
          </cell>
          <cell r="L35" t="str">
            <v>HD</v>
          </cell>
          <cell r="N35" t="e">
            <v>#N/A</v>
          </cell>
          <cell r="O35" t="str">
            <v>Spin-on Oil Filter</v>
          </cell>
        </row>
        <row r="36">
          <cell r="K36" t="str">
            <v>L5467F</v>
          </cell>
          <cell r="L36" t="str">
            <v>HD</v>
          </cell>
          <cell r="N36" t="e">
            <v>#N/A</v>
          </cell>
          <cell r="O36" t="str">
            <v>Cartridge Fuel Filter</v>
          </cell>
        </row>
        <row r="37">
          <cell r="K37" t="str">
            <v>LAF3551</v>
          </cell>
          <cell r="L37" t="str">
            <v>HD</v>
          </cell>
          <cell r="N37" t="e">
            <v>#N/A</v>
          </cell>
          <cell r="O37" t="str">
            <v>HD Round Air Filter with Attached Lid</v>
          </cell>
        </row>
        <row r="38">
          <cell r="K38" t="str">
            <v>LFP440F</v>
          </cell>
          <cell r="L38" t="str">
            <v>HD</v>
          </cell>
          <cell r="N38" t="e">
            <v>#N/A</v>
          </cell>
          <cell r="O38" t="str">
            <v>Spin-on Fuel Filter</v>
          </cell>
        </row>
        <row r="39">
          <cell r="K39" t="str">
            <v>LFP2286</v>
          </cell>
          <cell r="L39" t="str">
            <v>HD</v>
          </cell>
          <cell r="N39" t="e">
            <v>#N/A</v>
          </cell>
          <cell r="O39" t="str">
            <v>Spin-on Oil Filter</v>
          </cell>
        </row>
        <row r="40">
          <cell r="K40" t="str">
            <v>LAF1878</v>
          </cell>
          <cell r="L40" t="str">
            <v>HD</v>
          </cell>
          <cell r="N40" t="e">
            <v>#N/A</v>
          </cell>
          <cell r="O40" t="str">
            <v>Radial Seal Air Filter (Primary) Filter</v>
          </cell>
        </row>
        <row r="41">
          <cell r="K41" t="str">
            <v>L9915F</v>
          </cell>
          <cell r="L41" t="str">
            <v>HD</v>
          </cell>
          <cell r="N41" t="e">
            <v>#N/A</v>
          </cell>
          <cell r="O41" t="str">
            <v>Cartridge Fuel Water Separator Coalescer filter</v>
          </cell>
        </row>
        <row r="42">
          <cell r="K42" t="str">
            <v>LFF2201</v>
          </cell>
          <cell r="L42" t="str">
            <v>HD</v>
          </cell>
          <cell r="N42" t="str">
            <v>LFF2201</v>
          </cell>
          <cell r="O42" t="str">
            <v>Spin-on Fuel Filter</v>
          </cell>
        </row>
        <row r="43">
          <cell r="K43" t="str">
            <v>2788B</v>
          </cell>
          <cell r="L43" t="str">
            <v>HD</v>
          </cell>
          <cell r="M43" t="str">
            <v>x</v>
          </cell>
          <cell r="N43" t="e">
            <v>#N/A</v>
          </cell>
          <cell r="O43" t="str">
            <v>Luberfiner 500 and 750 cover gasket</v>
          </cell>
        </row>
        <row r="44">
          <cell r="K44" t="str">
            <v>LFF2203</v>
          </cell>
          <cell r="L44" t="str">
            <v>HD</v>
          </cell>
          <cell r="N44" t="str">
            <v>LFF2203</v>
          </cell>
          <cell r="O44" t="str">
            <v>Spin-on Fuel Filter</v>
          </cell>
        </row>
        <row r="45">
          <cell r="K45" t="str">
            <v>L9765FXL</v>
          </cell>
          <cell r="L45" t="str">
            <v>HD</v>
          </cell>
          <cell r="N45" t="e">
            <v>#N/A</v>
          </cell>
          <cell r="O45" t="str">
            <v>Extended Life Cartridge Fuel Water Separator Filter</v>
          </cell>
        </row>
        <row r="46">
          <cell r="K46" t="str">
            <v>LFF5488</v>
          </cell>
          <cell r="L46" t="str">
            <v>HD</v>
          </cell>
          <cell r="N46" t="e">
            <v>#N/A</v>
          </cell>
          <cell r="O46" t="str">
            <v>Spin-on Fuel Filter</v>
          </cell>
        </row>
        <row r="47">
          <cell r="K47" t="str">
            <v>LFF8020</v>
          </cell>
          <cell r="L47" t="str">
            <v>HD</v>
          </cell>
          <cell r="N47" t="e">
            <v>#N/A</v>
          </cell>
          <cell r="O47" t="str">
            <v>Spin-on Fuel Water Separator Filter</v>
          </cell>
        </row>
        <row r="48">
          <cell r="K48">
            <v>920021</v>
          </cell>
          <cell r="L48" t="str">
            <v>HD</v>
          </cell>
          <cell r="M48" t="str">
            <v>x</v>
          </cell>
          <cell r="N48" t="e">
            <v>#N/A</v>
          </cell>
          <cell r="O48" t="str">
            <v>Lubercool II Pint Bottle</v>
          </cell>
        </row>
        <row r="49">
          <cell r="K49" t="str">
            <v>LFP3236TRT</v>
          </cell>
          <cell r="L49" t="str">
            <v>HD</v>
          </cell>
          <cell r="N49" t="e">
            <v>#N/A</v>
          </cell>
          <cell r="O49" t="str">
            <v>Spin-on Oil Filter</v>
          </cell>
        </row>
        <row r="50">
          <cell r="K50" t="str">
            <v>LFP2999R</v>
          </cell>
          <cell r="L50" t="str">
            <v>HD</v>
          </cell>
          <cell r="N50" t="e">
            <v>#N/A</v>
          </cell>
          <cell r="O50" t="str">
            <v>Spin-on Oil Filter</v>
          </cell>
        </row>
        <row r="51">
          <cell r="K51" t="str">
            <v>LAF6260</v>
          </cell>
          <cell r="L51" t="str">
            <v>HD</v>
          </cell>
          <cell r="N51" t="e">
            <v>#N/A</v>
          </cell>
          <cell r="O51" t="str">
            <v>Corrugated Media Air Filter</v>
          </cell>
        </row>
        <row r="52">
          <cell r="K52" t="str">
            <v>LFP1652</v>
          </cell>
          <cell r="L52" t="str">
            <v>HD</v>
          </cell>
          <cell r="N52" t="e">
            <v>#N/A</v>
          </cell>
          <cell r="O52" t="str">
            <v>Spin-on Hydraulic Filter</v>
          </cell>
        </row>
        <row r="53">
          <cell r="K53" t="str">
            <v>CAF24000</v>
          </cell>
          <cell r="L53" t="str">
            <v>HD</v>
          </cell>
          <cell r="N53" t="e">
            <v>#N/A</v>
          </cell>
          <cell r="O53" t="str">
            <v>Cabin Air Filter</v>
          </cell>
        </row>
        <row r="54">
          <cell r="K54" t="str">
            <v>L5467FNXL</v>
          </cell>
          <cell r="L54" t="str">
            <v>HD</v>
          </cell>
          <cell r="N54" t="e">
            <v>#N/A</v>
          </cell>
          <cell r="O54" t="str">
            <v>Extended life Cartridge fuel filter</v>
          </cell>
        </row>
        <row r="55">
          <cell r="K55" t="str">
            <v>L9763FXL</v>
          </cell>
          <cell r="L55" t="str">
            <v>HD</v>
          </cell>
          <cell r="N55" t="e">
            <v>#N/A</v>
          </cell>
          <cell r="O55" t="str">
            <v>Extended Life Cartridge Fuel Water Separator Filter</v>
          </cell>
        </row>
        <row r="56">
          <cell r="K56" t="str">
            <v>LAF6663</v>
          </cell>
          <cell r="L56" t="str">
            <v>HD</v>
          </cell>
          <cell r="N56" t="e">
            <v>#N/A</v>
          </cell>
          <cell r="O56" t="str">
            <v>Radial Seal Outer Air Filter</v>
          </cell>
        </row>
        <row r="57">
          <cell r="K57" t="str">
            <v>L5104F</v>
          </cell>
          <cell r="L57" t="str">
            <v>HD</v>
          </cell>
          <cell r="N57" t="e">
            <v>#N/A</v>
          </cell>
          <cell r="O57" t="str">
            <v>Fuel Filter Kit Primary/Secondary</v>
          </cell>
        </row>
        <row r="58">
          <cell r="K58" t="str">
            <v>LFF3521</v>
          </cell>
          <cell r="L58" t="str">
            <v>HD</v>
          </cell>
          <cell r="N58" t="e">
            <v>#N/A</v>
          </cell>
          <cell r="O58" t="str">
            <v>Spin-on Fuel Filter</v>
          </cell>
        </row>
        <row r="59">
          <cell r="K59" t="str">
            <v>L9729F</v>
          </cell>
          <cell r="L59" t="str">
            <v>HD</v>
          </cell>
          <cell r="N59" t="e">
            <v>#N/A</v>
          </cell>
          <cell r="O59" t="str">
            <v>Cartridge Fuel Water Separator Filter</v>
          </cell>
        </row>
        <row r="60">
          <cell r="K60" t="str">
            <v>LAF4816</v>
          </cell>
          <cell r="L60" t="str">
            <v>HD</v>
          </cell>
          <cell r="N60" t="e">
            <v>#N/A</v>
          </cell>
          <cell r="O60" t="str">
            <v>Radial Seal Air Filter (Primary) Filter</v>
          </cell>
        </row>
        <row r="61">
          <cell r="K61" t="str">
            <v>LFP2285</v>
          </cell>
          <cell r="L61" t="str">
            <v>HD</v>
          </cell>
          <cell r="N61" t="e">
            <v>#N/A</v>
          </cell>
          <cell r="O61" t="str">
            <v>Spin-on Oil Filter</v>
          </cell>
        </row>
        <row r="62">
          <cell r="K62" t="str">
            <v>LFF4783</v>
          </cell>
          <cell r="L62" t="str">
            <v>HD</v>
          </cell>
          <cell r="N62" t="e">
            <v>#N/A</v>
          </cell>
          <cell r="O62" t="str">
            <v>Spin-on Fuel Filter</v>
          </cell>
        </row>
        <row r="63">
          <cell r="K63" t="str">
            <v>LFF5632</v>
          </cell>
          <cell r="L63" t="str">
            <v>HD</v>
          </cell>
          <cell r="N63" t="e">
            <v>#N/A</v>
          </cell>
          <cell r="O63" t="str">
            <v>Spin-on Fuel Filter</v>
          </cell>
        </row>
        <row r="64">
          <cell r="K64" t="str">
            <v>LAF9201</v>
          </cell>
          <cell r="L64" t="str">
            <v>HD</v>
          </cell>
          <cell r="N64" t="e">
            <v>#N/A</v>
          </cell>
          <cell r="O64" t="str">
            <v>Radial Seal Outer Air Filter</v>
          </cell>
        </row>
        <row r="65">
          <cell r="K65" t="str">
            <v>L5091F</v>
          </cell>
          <cell r="L65" t="str">
            <v>HD</v>
          </cell>
          <cell r="N65" t="e">
            <v>#N/A</v>
          </cell>
          <cell r="O65" t="str">
            <v>Fuel Filter Kit Primary/Secondary</v>
          </cell>
        </row>
        <row r="66">
          <cell r="K66" t="str">
            <v>LAF5114MXM</v>
          </cell>
          <cell r="L66" t="str">
            <v>HD</v>
          </cell>
          <cell r="N66" t="e">
            <v>#N/A</v>
          </cell>
          <cell r="O66" t="str">
            <v>Nano Tech Radial Seal Air Filter</v>
          </cell>
        </row>
        <row r="67">
          <cell r="K67" t="str">
            <v>LFF1003</v>
          </cell>
          <cell r="L67" t="str">
            <v>HD</v>
          </cell>
          <cell r="N67" t="e">
            <v>#N/A</v>
          </cell>
          <cell r="O67" t="str">
            <v>Spin-on Fuel Filter</v>
          </cell>
        </row>
        <row r="68">
          <cell r="K68" t="str">
            <v>LFP670</v>
          </cell>
          <cell r="L68" t="str">
            <v>HD</v>
          </cell>
          <cell r="N68" t="e">
            <v>#N/A</v>
          </cell>
          <cell r="O68" t="str">
            <v>Spin-on Oil Filter</v>
          </cell>
        </row>
        <row r="69">
          <cell r="K69" t="str">
            <v>LAF9099</v>
          </cell>
          <cell r="L69" t="str">
            <v>HD</v>
          </cell>
          <cell r="N69" t="e">
            <v>#N/A</v>
          </cell>
          <cell r="O69" t="str">
            <v>Radial Seal Outer Air Filter</v>
          </cell>
        </row>
        <row r="70">
          <cell r="K70" t="str">
            <v>LFF3358</v>
          </cell>
          <cell r="L70" t="str">
            <v>HD</v>
          </cell>
          <cell r="N70" t="str">
            <v>LFF3358</v>
          </cell>
          <cell r="O70" t="str">
            <v>Spin-on Fuel Filter</v>
          </cell>
        </row>
        <row r="71">
          <cell r="K71" t="str">
            <v>LFP3191TRT</v>
          </cell>
          <cell r="L71" t="str">
            <v>HD</v>
          </cell>
          <cell r="N71" t="e">
            <v>#N/A</v>
          </cell>
          <cell r="O71" t="str">
            <v>Spin-on Oil Filter</v>
          </cell>
        </row>
        <row r="72">
          <cell r="K72" t="str">
            <v>L5086F</v>
          </cell>
          <cell r="L72" t="str">
            <v>HD</v>
          </cell>
          <cell r="N72" t="e">
            <v>#N/A</v>
          </cell>
          <cell r="O72" t="str">
            <v>Cartridge Fuel Water Separator Coalescer filter</v>
          </cell>
        </row>
        <row r="73">
          <cell r="K73" t="str">
            <v>LAF8837</v>
          </cell>
          <cell r="L73" t="str">
            <v>HD</v>
          </cell>
          <cell r="N73" t="e">
            <v>#N/A</v>
          </cell>
          <cell r="O73" t="str">
            <v>Flexible Panel Air Filter</v>
          </cell>
        </row>
        <row r="74">
          <cell r="K74" t="str">
            <v>L7694F</v>
          </cell>
          <cell r="L74" t="str">
            <v>HD</v>
          </cell>
          <cell r="N74" t="e">
            <v>#N/A</v>
          </cell>
          <cell r="O74" t="str">
            <v>Cartridge Fuel Filter</v>
          </cell>
        </row>
        <row r="75">
          <cell r="K75" t="str">
            <v>LFP9000</v>
          </cell>
          <cell r="L75" t="str">
            <v>HD</v>
          </cell>
          <cell r="N75" t="e">
            <v>#N/A</v>
          </cell>
          <cell r="O75" t="str">
            <v>Spin-on Oil Filter</v>
          </cell>
        </row>
        <row r="76">
          <cell r="K76" t="str">
            <v>LFW4685</v>
          </cell>
          <cell r="L76" t="str">
            <v>HD</v>
          </cell>
          <cell r="N76" t="e">
            <v>#N/A</v>
          </cell>
          <cell r="O76" t="str">
            <v>Spin-on Coolant Filter</v>
          </cell>
        </row>
        <row r="77">
          <cell r="K77" t="str">
            <v>LP2017</v>
          </cell>
          <cell r="L77" t="str">
            <v>HD</v>
          </cell>
          <cell r="N77" t="e">
            <v>#N/A</v>
          </cell>
          <cell r="O77" t="str">
            <v>Cartridge Oil Filter</v>
          </cell>
        </row>
        <row r="78">
          <cell r="K78" t="str">
            <v>LP8213</v>
          </cell>
          <cell r="L78" t="str">
            <v>HD</v>
          </cell>
          <cell r="N78" t="e">
            <v>#N/A</v>
          </cell>
          <cell r="O78" t="str">
            <v>Cartridge By-Pass Oil Filter</v>
          </cell>
        </row>
        <row r="79">
          <cell r="K79" t="str">
            <v>LP5048</v>
          </cell>
          <cell r="L79" t="str">
            <v>HD</v>
          </cell>
          <cell r="N79" t="e">
            <v>#N/A</v>
          </cell>
          <cell r="O79" t="str">
            <v>Cartridge Oil Filter</v>
          </cell>
        </row>
        <row r="80">
          <cell r="K80" t="str">
            <v>LFW2127</v>
          </cell>
          <cell r="L80" t="str">
            <v>HD</v>
          </cell>
          <cell r="N80" t="e">
            <v>#N/A</v>
          </cell>
          <cell r="O80" t="str">
            <v>Extended Life Spin-on Coolant Filter</v>
          </cell>
        </row>
        <row r="81">
          <cell r="K81" t="str">
            <v>LFP9025</v>
          </cell>
          <cell r="L81" t="str">
            <v>HD</v>
          </cell>
          <cell r="N81" t="e">
            <v>#N/A</v>
          </cell>
          <cell r="O81" t="str">
            <v>Spin-on Oil Filter</v>
          </cell>
        </row>
        <row r="82">
          <cell r="K82" t="str">
            <v>LP7498XL</v>
          </cell>
          <cell r="L82" t="str">
            <v>HD</v>
          </cell>
          <cell r="N82" t="e">
            <v>#N/A</v>
          </cell>
          <cell r="O82" t="str">
            <v>Extended Life Cartridge Oil Filter</v>
          </cell>
        </row>
        <row r="83">
          <cell r="K83" t="str">
            <v>LFF1065</v>
          </cell>
          <cell r="L83" t="str">
            <v>HD</v>
          </cell>
          <cell r="N83" t="e">
            <v>#N/A</v>
          </cell>
          <cell r="O83" t="str">
            <v>Spin-on Fuel Water Separator Filter</v>
          </cell>
        </row>
        <row r="84">
          <cell r="K84" t="str">
            <v>LFP4005RN</v>
          </cell>
          <cell r="L84" t="str">
            <v>HD</v>
          </cell>
          <cell r="N84" t="e">
            <v>#N/A</v>
          </cell>
          <cell r="O84" t="str">
            <v>Spin-on Oil Filter</v>
          </cell>
        </row>
        <row r="85">
          <cell r="K85" t="str">
            <v>LFF1224</v>
          </cell>
          <cell r="L85" t="str">
            <v>HD</v>
          </cell>
          <cell r="N85" t="e">
            <v>#N/A</v>
          </cell>
          <cell r="O85" t="str">
            <v>Spin-on Fuel Filter</v>
          </cell>
        </row>
        <row r="86">
          <cell r="K86" t="str">
            <v>LFP6035</v>
          </cell>
          <cell r="L86" t="str">
            <v>HD</v>
          </cell>
          <cell r="N86" t="e">
            <v>#N/A</v>
          </cell>
          <cell r="O86" t="str">
            <v>Spin-on Oil Filter</v>
          </cell>
        </row>
        <row r="87">
          <cell r="K87" t="str">
            <v>LFP777B</v>
          </cell>
          <cell r="L87" t="str">
            <v>HD</v>
          </cell>
          <cell r="N87" t="e">
            <v>#N/A</v>
          </cell>
          <cell r="O87" t="str">
            <v>Spin-on By-Pass Oil Filter</v>
          </cell>
        </row>
        <row r="88">
          <cell r="K88" t="str">
            <v>LFP449</v>
          </cell>
          <cell r="L88" t="str">
            <v>HD</v>
          </cell>
          <cell r="N88" t="e">
            <v>#N/A</v>
          </cell>
          <cell r="O88" t="str">
            <v>Spin-on Hydraulic Filter</v>
          </cell>
        </row>
        <row r="89">
          <cell r="K89" t="str">
            <v>LFW4074</v>
          </cell>
          <cell r="L89" t="str">
            <v>HD</v>
          </cell>
          <cell r="N89" t="e">
            <v>#N/A</v>
          </cell>
          <cell r="O89" t="str">
            <v>Spin-on Coolant Filter</v>
          </cell>
        </row>
        <row r="90">
          <cell r="K90" t="str">
            <v>L8994F</v>
          </cell>
          <cell r="L90" t="str">
            <v>HD</v>
          </cell>
          <cell r="N90" t="e">
            <v>#N/A</v>
          </cell>
          <cell r="O90" t="str">
            <v>Cartridge Fuel Filter</v>
          </cell>
        </row>
        <row r="91">
          <cell r="K91" t="str">
            <v>LAF3233</v>
          </cell>
          <cell r="L91" t="str">
            <v>HD</v>
          </cell>
          <cell r="N91" t="e">
            <v>#N/A</v>
          </cell>
          <cell r="O91" t="str">
            <v>Corrugated Media Air Filter</v>
          </cell>
        </row>
        <row r="92">
          <cell r="K92" t="str">
            <v>LAF3302</v>
          </cell>
          <cell r="L92" t="str">
            <v>HD</v>
          </cell>
          <cell r="N92" t="e">
            <v>#N/A</v>
          </cell>
          <cell r="O92" t="str">
            <v>Radial Seal Air Filter (Primary) Filter</v>
          </cell>
        </row>
        <row r="93">
          <cell r="K93" t="str">
            <v>LFF3349</v>
          </cell>
          <cell r="L93" t="str">
            <v>HD</v>
          </cell>
          <cell r="N93" t="str">
            <v>LFF3349</v>
          </cell>
          <cell r="O93" t="str">
            <v>Spin-on Fuel Filter</v>
          </cell>
        </row>
        <row r="94">
          <cell r="K94" t="str">
            <v>LFF4470</v>
          </cell>
          <cell r="L94" t="str">
            <v>HD</v>
          </cell>
          <cell r="N94" t="e">
            <v>#N/A</v>
          </cell>
          <cell r="O94" t="str">
            <v>Primary Spin-on Fuel Filter</v>
          </cell>
        </row>
        <row r="95">
          <cell r="K95" t="str">
            <v>LP6043</v>
          </cell>
          <cell r="L95" t="str">
            <v>HD</v>
          </cell>
          <cell r="N95" t="e">
            <v>#N/A</v>
          </cell>
          <cell r="O95" t="str">
            <v>Cartridge Oil Filter</v>
          </cell>
        </row>
        <row r="96">
          <cell r="K96" t="str">
            <v>CAF24005</v>
          </cell>
          <cell r="L96" t="str">
            <v>HD</v>
          </cell>
          <cell r="N96" t="e">
            <v>#N/A</v>
          </cell>
          <cell r="O96" t="str">
            <v>Cabin Air Filter</v>
          </cell>
        </row>
        <row r="97">
          <cell r="K97" t="str">
            <v>LAF2100</v>
          </cell>
          <cell r="L97" t="str">
            <v>HD</v>
          </cell>
          <cell r="N97" t="e">
            <v>#N/A</v>
          </cell>
          <cell r="O97" t="str">
            <v>Cone Shaped Conical Air Filter</v>
          </cell>
        </row>
        <row r="98">
          <cell r="K98" t="str">
            <v>LFP9001TRT</v>
          </cell>
          <cell r="L98" t="str">
            <v>HD</v>
          </cell>
          <cell r="N98" t="e">
            <v>#N/A</v>
          </cell>
          <cell r="O98" t="str">
            <v>Spin-on Oil Filter</v>
          </cell>
        </row>
        <row r="99">
          <cell r="K99" t="str">
            <v>L9684F</v>
          </cell>
          <cell r="L99" t="str">
            <v>HD</v>
          </cell>
          <cell r="N99" t="e">
            <v>#N/A</v>
          </cell>
          <cell r="O99" t="str">
            <v>Cartridge Fuel Water Separator Filter</v>
          </cell>
        </row>
        <row r="100">
          <cell r="K100" t="str">
            <v>LP8700</v>
          </cell>
          <cell r="L100" t="str">
            <v>HD</v>
          </cell>
          <cell r="N100" t="e">
            <v>#N/A</v>
          </cell>
          <cell r="O100" t="str">
            <v>Cartridge Oil Filter</v>
          </cell>
        </row>
        <row r="101">
          <cell r="K101" t="str">
            <v>LFF6012</v>
          </cell>
          <cell r="L101" t="str">
            <v>HD</v>
          </cell>
          <cell r="N101" t="e">
            <v>#N/A</v>
          </cell>
          <cell r="O101" t="str">
            <v>Spin-on Fuel Filter</v>
          </cell>
        </row>
        <row r="102">
          <cell r="K102" t="str">
            <v>LAF9545</v>
          </cell>
          <cell r="L102" t="str">
            <v>HD</v>
          </cell>
          <cell r="N102" t="e">
            <v>#N/A</v>
          </cell>
          <cell r="O102" t="str">
            <v>HD Metal-End Air Filter</v>
          </cell>
        </row>
        <row r="103">
          <cell r="K103" t="str">
            <v>LFF3520</v>
          </cell>
          <cell r="L103" t="str">
            <v>HD</v>
          </cell>
          <cell r="N103" t="str">
            <v>LFF3520</v>
          </cell>
          <cell r="O103" t="str">
            <v>Fuel Dispensing Filter</v>
          </cell>
        </row>
        <row r="104">
          <cell r="K104" t="str">
            <v>CAF24015</v>
          </cell>
          <cell r="L104" t="str">
            <v>HD</v>
          </cell>
          <cell r="N104" t="e">
            <v>#N/A</v>
          </cell>
          <cell r="O104" t="str">
            <v>Cabin Air Filter</v>
          </cell>
        </row>
        <row r="105">
          <cell r="K105" t="str">
            <v>L2020FN</v>
          </cell>
          <cell r="L105" t="str">
            <v>HD</v>
          </cell>
          <cell r="N105" t="e">
            <v>#N/A</v>
          </cell>
          <cell r="O105" t="str">
            <v>Cartridge Fuel Water Separator Filter</v>
          </cell>
        </row>
        <row r="106">
          <cell r="K106" t="str">
            <v>LFP2051</v>
          </cell>
          <cell r="L106" t="str">
            <v>HD</v>
          </cell>
          <cell r="N106" t="e">
            <v>#N/A</v>
          </cell>
          <cell r="O106" t="str">
            <v>Spin-on Oil Filter</v>
          </cell>
        </row>
        <row r="107">
          <cell r="K107" t="str">
            <v>LFF8957</v>
          </cell>
          <cell r="L107" t="str">
            <v>HD</v>
          </cell>
          <cell r="N107" t="e">
            <v>#N/A</v>
          </cell>
          <cell r="O107" t="str">
            <v>Bowl Style Fuel Water Separator Filter</v>
          </cell>
        </row>
        <row r="108">
          <cell r="K108" t="str">
            <v>LFP5964</v>
          </cell>
          <cell r="L108" t="str">
            <v>HD</v>
          </cell>
          <cell r="N108" t="e">
            <v>#N/A</v>
          </cell>
          <cell r="O108" t="str">
            <v>Spin-on Oil Filter</v>
          </cell>
        </row>
        <row r="109">
          <cell r="K109" t="str">
            <v>LFP780G</v>
          </cell>
          <cell r="L109" t="str">
            <v>HD</v>
          </cell>
          <cell r="N109" t="e">
            <v>#N/A</v>
          </cell>
          <cell r="O109" t="str">
            <v>Extended Life Spin-on Oil Filter</v>
          </cell>
        </row>
        <row r="110">
          <cell r="K110" t="str">
            <v>LAF8195</v>
          </cell>
          <cell r="L110" t="str">
            <v>HD</v>
          </cell>
          <cell r="N110" t="e">
            <v>#N/A</v>
          </cell>
          <cell r="O110" t="str">
            <v>Radial Seal Outer Air Filter</v>
          </cell>
        </row>
        <row r="111">
          <cell r="K111" t="str">
            <v>LFH4209</v>
          </cell>
          <cell r="L111" t="str">
            <v>HD</v>
          </cell>
          <cell r="N111" t="e">
            <v>#N/A</v>
          </cell>
          <cell r="O111" t="str">
            <v>Spin-on Hydraulic Filter</v>
          </cell>
        </row>
        <row r="112">
          <cell r="K112" t="str">
            <v>LFF8064</v>
          </cell>
          <cell r="L112" t="str">
            <v>HD</v>
          </cell>
          <cell r="N112" t="e">
            <v>#N/A</v>
          </cell>
          <cell r="O112" t="str">
            <v>Spin-on Fuel Filter</v>
          </cell>
        </row>
        <row r="113">
          <cell r="K113" t="str">
            <v>LFF5686</v>
          </cell>
          <cell r="L113" t="str">
            <v>HD</v>
          </cell>
          <cell r="N113" t="e">
            <v>#N/A</v>
          </cell>
          <cell r="O113" t="str">
            <v>Spin-on Fuel Filter</v>
          </cell>
        </row>
        <row r="114">
          <cell r="K114" t="str">
            <v>LFP9182</v>
          </cell>
          <cell r="L114" t="str">
            <v>HD</v>
          </cell>
          <cell r="N114" t="e">
            <v>#N/A</v>
          </cell>
          <cell r="O114" t="str">
            <v>Spin-on Oil Filter</v>
          </cell>
        </row>
        <row r="115">
          <cell r="K115" t="str">
            <v>CAF24016</v>
          </cell>
          <cell r="L115" t="str">
            <v>HD</v>
          </cell>
          <cell r="N115" t="e">
            <v>#N/A</v>
          </cell>
          <cell r="O115" t="str">
            <v>Cabin Air Filter</v>
          </cell>
        </row>
        <row r="116">
          <cell r="K116" t="str">
            <v>LFF1223</v>
          </cell>
          <cell r="L116" t="str">
            <v>HD</v>
          </cell>
          <cell r="N116" t="e">
            <v>#N/A</v>
          </cell>
          <cell r="O116" t="str">
            <v>Spin-on Fuel Filter</v>
          </cell>
        </row>
        <row r="117">
          <cell r="K117" t="str">
            <v>LFF9342</v>
          </cell>
          <cell r="L117" t="str">
            <v>HD</v>
          </cell>
          <cell r="N117" t="e">
            <v>#N/A</v>
          </cell>
          <cell r="O117" t="str">
            <v>Spin-on Fuel Water Separator Filter</v>
          </cell>
        </row>
        <row r="118">
          <cell r="K118" t="str">
            <v>LFF5485</v>
          </cell>
          <cell r="L118" t="str">
            <v>HD</v>
          </cell>
          <cell r="N118" t="e">
            <v>#N/A</v>
          </cell>
          <cell r="O118" t="str">
            <v>Spin-on Fuel Filter</v>
          </cell>
        </row>
        <row r="119">
          <cell r="K119" t="str">
            <v>HP1</v>
          </cell>
          <cell r="L119" t="str">
            <v>HD</v>
          </cell>
          <cell r="N119" t="e">
            <v>#N/A</v>
          </cell>
          <cell r="O119" t="str">
            <v>High Performance Spin-on Oil Filter</v>
          </cell>
        </row>
        <row r="120">
          <cell r="K120" t="str">
            <v>L3578FXL</v>
          </cell>
          <cell r="L120" t="str">
            <v>HD</v>
          </cell>
          <cell r="N120" t="e">
            <v>#N/A</v>
          </cell>
          <cell r="O120" t="str">
            <v>Extended Life Cartridge Fuel Water Separator Coalescer filter</v>
          </cell>
        </row>
        <row r="121">
          <cell r="K121" t="str">
            <v>LFP219F</v>
          </cell>
          <cell r="L121" t="str">
            <v>HD</v>
          </cell>
          <cell r="N121" t="e">
            <v>#N/A</v>
          </cell>
          <cell r="O121" t="str">
            <v>Spin-on Fuel Filter</v>
          </cell>
        </row>
        <row r="122">
          <cell r="K122" t="str">
            <v>CAF24003XL</v>
          </cell>
          <cell r="L122" t="str">
            <v>HD</v>
          </cell>
          <cell r="N122" t="e">
            <v>#N/A</v>
          </cell>
          <cell r="O122" t="str">
            <v>Cabin Air Filter (Carbon) Extreme Clean</v>
          </cell>
        </row>
        <row r="123">
          <cell r="K123" t="str">
            <v>LAF4544</v>
          </cell>
          <cell r="L123" t="str">
            <v>HD</v>
          </cell>
          <cell r="N123" t="e">
            <v>#N/A</v>
          </cell>
          <cell r="O123" t="str">
            <v>Radial Seal Outer Air Filter</v>
          </cell>
        </row>
        <row r="124">
          <cell r="K124" t="str">
            <v>LFW2126</v>
          </cell>
          <cell r="L124" t="str">
            <v>HD</v>
          </cell>
          <cell r="N124" t="e">
            <v>#N/A</v>
          </cell>
          <cell r="O124" t="str">
            <v>Spin-on Coolant Filter</v>
          </cell>
        </row>
        <row r="125">
          <cell r="K125" t="str">
            <v>LAF6116</v>
          </cell>
          <cell r="L125" t="str">
            <v>HD</v>
          </cell>
          <cell r="N125" t="e">
            <v>#N/A</v>
          </cell>
          <cell r="O125" t="str">
            <v>Corrugated Media Air Filter</v>
          </cell>
        </row>
        <row r="126">
          <cell r="K126" t="str">
            <v>FP590F</v>
          </cell>
          <cell r="L126" t="str">
            <v>HD</v>
          </cell>
          <cell r="N126" t="e">
            <v>#N/A</v>
          </cell>
          <cell r="O126" t="str">
            <v>Spin-on Fuel Filter</v>
          </cell>
        </row>
        <row r="127">
          <cell r="K127" t="str">
            <v>LFF4471</v>
          </cell>
          <cell r="L127" t="str">
            <v>HD</v>
          </cell>
          <cell r="N127" t="e">
            <v>#N/A</v>
          </cell>
          <cell r="O127" t="str">
            <v>Secondary spin-on fuel filter</v>
          </cell>
        </row>
        <row r="128">
          <cell r="K128" t="str">
            <v>LFP4836</v>
          </cell>
          <cell r="L128" t="str">
            <v>HD</v>
          </cell>
          <cell r="N128" t="e">
            <v>#N/A</v>
          </cell>
          <cell r="O128" t="str">
            <v>Spin-on Oil Filter</v>
          </cell>
        </row>
        <row r="129">
          <cell r="K129" t="str">
            <v>LW4076XL</v>
          </cell>
          <cell r="L129" t="str">
            <v>HD</v>
          </cell>
          <cell r="N129" t="e">
            <v>#N/A</v>
          </cell>
          <cell r="O129" t="str">
            <v>Extended Life Cartridge Coolant Filter</v>
          </cell>
        </row>
        <row r="130">
          <cell r="K130" t="str">
            <v>LFF5851</v>
          </cell>
          <cell r="L130" t="str">
            <v>HD</v>
          </cell>
          <cell r="N130" t="e">
            <v>#N/A</v>
          </cell>
          <cell r="O130" t="str">
            <v>Bowl Style Fuel Water Separator Filter</v>
          </cell>
        </row>
        <row r="131">
          <cell r="K131" t="str">
            <v>LP7485</v>
          </cell>
          <cell r="L131" t="str">
            <v>HD</v>
          </cell>
          <cell r="N131" t="e">
            <v>#N/A</v>
          </cell>
          <cell r="O131" t="str">
            <v>Centrifugal Cartridge Oil Filter</v>
          </cell>
        </row>
        <row r="132">
          <cell r="K132" t="str">
            <v>LFF5421</v>
          </cell>
          <cell r="L132" t="str">
            <v>HD</v>
          </cell>
          <cell r="N132" t="e">
            <v>#N/A</v>
          </cell>
          <cell r="O132" t="str">
            <v>Spin-on Fuel Filter</v>
          </cell>
        </row>
        <row r="133">
          <cell r="K133" t="str">
            <v>LFP2160TRT</v>
          </cell>
          <cell r="L133" t="str">
            <v>HD</v>
          </cell>
          <cell r="N133" t="e">
            <v>#N/A</v>
          </cell>
          <cell r="O133" t="str">
            <v>Spin-on Oil Filter</v>
          </cell>
        </row>
        <row r="134">
          <cell r="K134" t="str">
            <v>LFF9342SC</v>
          </cell>
          <cell r="L134" t="str">
            <v>HD</v>
          </cell>
          <cell r="N134" t="e">
            <v>#N/A</v>
          </cell>
          <cell r="O134" t="str">
            <v>Spin-on Fuel Water Separator Filter</v>
          </cell>
        </row>
        <row r="135">
          <cell r="K135" t="str">
            <v>LFP8654</v>
          </cell>
          <cell r="L135" t="str">
            <v>HD</v>
          </cell>
          <cell r="M135" t="str">
            <v>x</v>
          </cell>
          <cell r="N135" t="e">
            <v>#N/A</v>
          </cell>
          <cell r="O135" t="str">
            <v>Brake Dryer Air Filter</v>
          </cell>
        </row>
        <row r="136">
          <cell r="K136" t="str">
            <v>LAF6902</v>
          </cell>
          <cell r="L136" t="str">
            <v>HD</v>
          </cell>
          <cell r="N136" t="e">
            <v>#N/A</v>
          </cell>
          <cell r="O136" t="str">
            <v>Flexible Panel Air Filter</v>
          </cell>
        </row>
        <row r="137">
          <cell r="K137" t="str">
            <v>L296F</v>
          </cell>
          <cell r="L137" t="str">
            <v>HD</v>
          </cell>
          <cell r="N137" t="e">
            <v>#N/A</v>
          </cell>
          <cell r="O137" t="str">
            <v>Cartridge Fuel Filter</v>
          </cell>
        </row>
        <row r="138">
          <cell r="K138" t="str">
            <v>LP8741</v>
          </cell>
          <cell r="L138" t="str">
            <v>HD</v>
          </cell>
          <cell r="N138" t="e">
            <v>#N/A</v>
          </cell>
          <cell r="O138" t="str">
            <v>Cartridge Oil Filter</v>
          </cell>
        </row>
        <row r="139">
          <cell r="K139" t="str">
            <v>LAF9544</v>
          </cell>
          <cell r="L139" t="str">
            <v>HD</v>
          </cell>
          <cell r="N139" t="e">
            <v>#N/A</v>
          </cell>
          <cell r="O139" t="str">
            <v>HD Metal-End Air Filter</v>
          </cell>
        </row>
        <row r="140">
          <cell r="K140" t="str">
            <v>LFF5766</v>
          </cell>
          <cell r="L140" t="str">
            <v>HD</v>
          </cell>
          <cell r="N140" t="e">
            <v>#N/A</v>
          </cell>
          <cell r="O140" t="str">
            <v>Spin-on Fuel Filter</v>
          </cell>
        </row>
        <row r="141">
          <cell r="K141" t="str">
            <v>L4615F</v>
          </cell>
          <cell r="L141" t="str">
            <v>HD</v>
          </cell>
          <cell r="N141" t="e">
            <v>#N/A</v>
          </cell>
          <cell r="O141" t="str">
            <v>Fuel Filter Kit Primary/Secondary</v>
          </cell>
        </row>
        <row r="142">
          <cell r="K142" t="str">
            <v>LAF5873</v>
          </cell>
          <cell r="L142" t="str">
            <v>HD</v>
          </cell>
          <cell r="N142" t="e">
            <v>#N/A</v>
          </cell>
          <cell r="O142" t="str">
            <v>Radial Seal Outer Air Filter</v>
          </cell>
        </row>
        <row r="143">
          <cell r="K143" t="str">
            <v>LAF2536</v>
          </cell>
          <cell r="L143" t="str">
            <v>HD</v>
          </cell>
          <cell r="N143" t="e">
            <v>#N/A</v>
          </cell>
          <cell r="O143" t="str">
            <v>Radial Seal Outer Air Filter</v>
          </cell>
        </row>
        <row r="144">
          <cell r="K144" t="str">
            <v>LFW2055</v>
          </cell>
          <cell r="L144" t="str">
            <v>HD</v>
          </cell>
          <cell r="N144" t="e">
            <v>#N/A</v>
          </cell>
          <cell r="O144" t="str">
            <v>Spin-on Coolant Filter</v>
          </cell>
        </row>
        <row r="145">
          <cell r="K145" t="str">
            <v>L4596F</v>
          </cell>
          <cell r="L145" t="str">
            <v>HD</v>
          </cell>
          <cell r="N145" t="e">
            <v>#N/A</v>
          </cell>
          <cell r="O145" t="str">
            <v>Cartridge Fuel Water Separator Filter</v>
          </cell>
        </row>
        <row r="146">
          <cell r="K146" t="str">
            <v>LFF8062</v>
          </cell>
          <cell r="L146" t="str">
            <v>HD</v>
          </cell>
          <cell r="N146" t="e">
            <v>#N/A</v>
          </cell>
          <cell r="O146" t="str">
            <v>Spin-on Fuel Water Separator Filter</v>
          </cell>
        </row>
        <row r="147">
          <cell r="K147" t="str">
            <v>FP588F</v>
          </cell>
          <cell r="L147" t="str">
            <v>HD</v>
          </cell>
          <cell r="N147" t="e">
            <v>#N/A</v>
          </cell>
          <cell r="O147" t="str">
            <v>Spin-on Fuel Filter</v>
          </cell>
        </row>
        <row r="148">
          <cell r="K148" t="str">
            <v>L1261F</v>
          </cell>
          <cell r="L148" t="str">
            <v>HD</v>
          </cell>
          <cell r="N148" t="e">
            <v>#N/A</v>
          </cell>
          <cell r="O148" t="str">
            <v>Cartridge Fuel Water Separator Coalescer filter</v>
          </cell>
        </row>
        <row r="149">
          <cell r="K149" t="str">
            <v>LFP5570</v>
          </cell>
          <cell r="L149" t="str">
            <v>HD</v>
          </cell>
          <cell r="N149" t="e">
            <v>#N/A</v>
          </cell>
          <cell r="O149" t="str">
            <v>Spin-on Oil Filter</v>
          </cell>
        </row>
        <row r="150">
          <cell r="K150" t="str">
            <v>LH4582G</v>
          </cell>
          <cell r="L150" t="str">
            <v>HD</v>
          </cell>
          <cell r="N150" t="e">
            <v>#N/A</v>
          </cell>
          <cell r="O150" t="str">
            <v>Cartridge Transmission (Hydraulic) Filter</v>
          </cell>
        </row>
        <row r="151">
          <cell r="K151" t="str">
            <v>CAF24015XL</v>
          </cell>
          <cell r="L151" t="str">
            <v>HD</v>
          </cell>
          <cell r="N151" t="e">
            <v>#N/A</v>
          </cell>
          <cell r="O151" t="str">
            <v>Cabin Air Filter (Carbon) Extreme Clean</v>
          </cell>
        </row>
        <row r="152">
          <cell r="K152" t="str">
            <v>LAF4498</v>
          </cell>
          <cell r="L152" t="str">
            <v>HD</v>
          </cell>
          <cell r="N152" t="e">
            <v>#N/A</v>
          </cell>
          <cell r="O152" t="str">
            <v>Radial Seal Outer Air Filter</v>
          </cell>
        </row>
        <row r="153">
          <cell r="K153" t="str">
            <v>FP941F</v>
          </cell>
          <cell r="L153" t="str">
            <v>HD</v>
          </cell>
          <cell r="N153" t="e">
            <v>#N/A</v>
          </cell>
          <cell r="O153" t="str">
            <v>Spin-on Fuel Water Separator Filter</v>
          </cell>
        </row>
        <row r="154">
          <cell r="K154" t="str">
            <v>LFF3476</v>
          </cell>
          <cell r="L154" t="str">
            <v>HD</v>
          </cell>
          <cell r="N154" t="e">
            <v>#N/A</v>
          </cell>
          <cell r="O154" t="str">
            <v>Spin-on Secondary Fuel Filter</v>
          </cell>
        </row>
        <row r="155">
          <cell r="K155">
            <v>2361</v>
          </cell>
          <cell r="L155" t="str">
            <v>HD</v>
          </cell>
          <cell r="M155" t="str">
            <v>x</v>
          </cell>
          <cell r="N155" t="e">
            <v>#N/A</v>
          </cell>
          <cell r="O155" t="str">
            <v>Vent Plug Washer/272-C, 363-C, 500-C, 750-C, CT, 2C, 3C</v>
          </cell>
        </row>
        <row r="156">
          <cell r="K156" t="str">
            <v>LFF8030</v>
          </cell>
          <cell r="L156" t="str">
            <v>HD</v>
          </cell>
          <cell r="N156" t="e">
            <v>#N/A</v>
          </cell>
          <cell r="O156" t="str">
            <v>Spin-on Fuel Water Separator Filter</v>
          </cell>
        </row>
        <row r="157">
          <cell r="K157" t="str">
            <v>LAF4348</v>
          </cell>
          <cell r="L157" t="str">
            <v>HD</v>
          </cell>
          <cell r="N157" t="e">
            <v>#N/A</v>
          </cell>
          <cell r="O157" t="str">
            <v>Special Configuration Air Filter</v>
          </cell>
        </row>
        <row r="158">
          <cell r="K158" t="str">
            <v>LFF8063</v>
          </cell>
          <cell r="L158" t="str">
            <v>HD</v>
          </cell>
          <cell r="N158" t="e">
            <v>#N/A</v>
          </cell>
          <cell r="O158" t="str">
            <v>Bowl Style Fuel Water Separator Filter</v>
          </cell>
        </row>
        <row r="159">
          <cell r="K159" t="str">
            <v>LAF5962</v>
          </cell>
          <cell r="L159" t="str">
            <v>HD</v>
          </cell>
          <cell r="N159" t="e">
            <v>#N/A</v>
          </cell>
          <cell r="O159" t="str">
            <v>Radial Seal Outer Air Filter</v>
          </cell>
        </row>
        <row r="160">
          <cell r="K160" t="str">
            <v>LFP2190</v>
          </cell>
          <cell r="L160" t="str">
            <v>HD</v>
          </cell>
          <cell r="N160" t="e">
            <v>#N/A</v>
          </cell>
          <cell r="O160" t="str">
            <v>Spin-on Oil Filter</v>
          </cell>
        </row>
        <row r="161">
          <cell r="K161" t="str">
            <v>LFW4744</v>
          </cell>
          <cell r="L161" t="str">
            <v>HD</v>
          </cell>
          <cell r="N161" t="e">
            <v>#N/A</v>
          </cell>
          <cell r="O161" t="str">
            <v>Spin-on Coolant Filter</v>
          </cell>
        </row>
        <row r="162">
          <cell r="K162" t="str">
            <v>LFF3417</v>
          </cell>
          <cell r="L162" t="str">
            <v>HD</v>
          </cell>
          <cell r="N162" t="e">
            <v>#N/A</v>
          </cell>
          <cell r="O162" t="str">
            <v>Spin-on Fuel Water Separator Filter</v>
          </cell>
        </row>
        <row r="163">
          <cell r="K163" t="str">
            <v>LFF5849</v>
          </cell>
          <cell r="L163" t="str">
            <v>HD</v>
          </cell>
          <cell r="N163" t="e">
            <v>#N/A</v>
          </cell>
          <cell r="O163" t="str">
            <v>Bowl Style Fuel Water Separator Filter</v>
          </cell>
        </row>
        <row r="164">
          <cell r="K164" t="str">
            <v>LAF9396</v>
          </cell>
          <cell r="L164" t="str">
            <v>HD</v>
          </cell>
          <cell r="N164" t="e">
            <v>#N/A</v>
          </cell>
          <cell r="O164" t="str">
            <v>Cone Shaped Conical Air Filter</v>
          </cell>
        </row>
        <row r="165">
          <cell r="K165" t="str">
            <v>LFW5141</v>
          </cell>
          <cell r="L165" t="str">
            <v>HD</v>
          </cell>
          <cell r="M165" t="str">
            <v>x</v>
          </cell>
          <cell r="N165" t="e">
            <v>#N/A</v>
          </cell>
          <cell r="O165" t="str">
            <v>Spin-on Coolant Filter</v>
          </cell>
        </row>
        <row r="166">
          <cell r="K166" t="str">
            <v>L8701F</v>
          </cell>
          <cell r="L166" t="str">
            <v>HD</v>
          </cell>
          <cell r="N166" t="e">
            <v>#N/A</v>
          </cell>
          <cell r="O166" t="str">
            <v>Cartridge Fuel Filter</v>
          </cell>
        </row>
        <row r="167">
          <cell r="K167" t="str">
            <v>LFF1225</v>
          </cell>
          <cell r="L167" t="str">
            <v>HD</v>
          </cell>
          <cell r="N167" t="e">
            <v>#N/A</v>
          </cell>
          <cell r="O167" t="str">
            <v>Spin-on Fuel Filter</v>
          </cell>
        </row>
        <row r="168">
          <cell r="K168" t="str">
            <v>LFF9732</v>
          </cell>
          <cell r="L168" t="str">
            <v>HD</v>
          </cell>
          <cell r="N168" t="e">
            <v>#N/A</v>
          </cell>
          <cell r="O168" t="str">
            <v>Fuel/Water Separator Spin-on Filter</v>
          </cell>
        </row>
        <row r="169">
          <cell r="K169" t="str">
            <v>LFF4783RD</v>
          </cell>
          <cell r="L169" t="str">
            <v>HD</v>
          </cell>
          <cell r="N169" t="e">
            <v>#N/A</v>
          </cell>
          <cell r="O169" t="str">
            <v>Spin-on Fuel Filter</v>
          </cell>
        </row>
        <row r="170">
          <cell r="K170" t="str">
            <v>LFP911</v>
          </cell>
          <cell r="L170" t="str">
            <v>HD</v>
          </cell>
          <cell r="N170" t="e">
            <v>#N/A</v>
          </cell>
          <cell r="O170" t="str">
            <v>Spin-on Oil Filter</v>
          </cell>
        </row>
        <row r="171">
          <cell r="K171" t="str">
            <v>LFP2292</v>
          </cell>
          <cell r="L171" t="str">
            <v>HD</v>
          </cell>
          <cell r="N171" t="e">
            <v>#N/A</v>
          </cell>
          <cell r="O171" t="str">
            <v>Spin-on Oil Filter</v>
          </cell>
        </row>
        <row r="172">
          <cell r="K172" t="str">
            <v>LP3985</v>
          </cell>
          <cell r="L172" t="str">
            <v>HD</v>
          </cell>
          <cell r="N172" t="e">
            <v>#N/A</v>
          </cell>
          <cell r="O172" t="str">
            <v>Centrifugal Cartridge Oil Filter</v>
          </cell>
        </row>
        <row r="173">
          <cell r="K173" t="str">
            <v>LFP431F</v>
          </cell>
          <cell r="L173" t="str">
            <v>HD</v>
          </cell>
          <cell r="N173" t="e">
            <v>#N/A</v>
          </cell>
          <cell r="O173" t="str">
            <v>Spin-on Fuel Filter</v>
          </cell>
        </row>
        <row r="174">
          <cell r="K174" t="str">
            <v>LFW4860</v>
          </cell>
          <cell r="L174" t="str">
            <v>HD</v>
          </cell>
          <cell r="N174" t="e">
            <v>#N/A</v>
          </cell>
          <cell r="O174" t="str">
            <v>Spin-on Coolant Filter</v>
          </cell>
        </row>
        <row r="175">
          <cell r="K175" t="str">
            <v>LFF3347</v>
          </cell>
          <cell r="L175" t="str">
            <v>HD</v>
          </cell>
          <cell r="N175" t="e">
            <v>#N/A</v>
          </cell>
          <cell r="O175" t="str">
            <v>Spin-on Fuel Filter</v>
          </cell>
        </row>
        <row r="176">
          <cell r="K176" t="str">
            <v>L4595F</v>
          </cell>
          <cell r="L176" t="str">
            <v>HD</v>
          </cell>
          <cell r="N176" t="e">
            <v>#N/A</v>
          </cell>
          <cell r="O176" t="str">
            <v>Cartridge Fuel Water Separator Filter</v>
          </cell>
        </row>
        <row r="177">
          <cell r="K177" t="str">
            <v>LFF1022</v>
          </cell>
          <cell r="L177" t="str">
            <v>HD</v>
          </cell>
          <cell r="N177" t="e">
            <v>#N/A</v>
          </cell>
          <cell r="O177" t="str">
            <v>Spin-on Fuel Filter</v>
          </cell>
        </row>
        <row r="178">
          <cell r="K178" t="str">
            <v>LFF8010</v>
          </cell>
          <cell r="L178" t="str">
            <v>HD</v>
          </cell>
          <cell r="N178" t="e">
            <v>#N/A</v>
          </cell>
          <cell r="O178" t="str">
            <v>Spin-on Fuel Water Separator Filter</v>
          </cell>
        </row>
        <row r="179">
          <cell r="K179" t="str">
            <v>FP953F</v>
          </cell>
          <cell r="L179" t="str">
            <v>HD</v>
          </cell>
          <cell r="M179" t="str">
            <v>x</v>
          </cell>
          <cell r="N179" t="e">
            <v>#N/A</v>
          </cell>
          <cell r="O179" t="str">
            <v>Diesel In-Line Fuel Filter</v>
          </cell>
        </row>
        <row r="180">
          <cell r="K180" t="str">
            <v>FP586F</v>
          </cell>
          <cell r="L180" t="str">
            <v>HD</v>
          </cell>
          <cell r="N180" t="e">
            <v>#N/A</v>
          </cell>
          <cell r="O180" t="str">
            <v>Spin-on Fuel Filter</v>
          </cell>
        </row>
        <row r="181">
          <cell r="K181" t="str">
            <v>LAF5722</v>
          </cell>
          <cell r="L181" t="str">
            <v>HD</v>
          </cell>
          <cell r="N181" t="e">
            <v>#N/A</v>
          </cell>
          <cell r="O181" t="str">
            <v>Radial Seal Outer Air Filter</v>
          </cell>
        </row>
        <row r="182">
          <cell r="K182" t="str">
            <v>LFW4686XL</v>
          </cell>
          <cell r="L182" t="str">
            <v>HD</v>
          </cell>
          <cell r="M182" t="str">
            <v>x</v>
          </cell>
          <cell r="N182" t="e">
            <v>#N/A</v>
          </cell>
          <cell r="O182" t="str">
            <v>Extended Life Spin-on Coolant Filter</v>
          </cell>
        </row>
        <row r="183">
          <cell r="K183" t="str">
            <v>LFF6289</v>
          </cell>
          <cell r="L183" t="str">
            <v>HD</v>
          </cell>
          <cell r="N183" t="e">
            <v>#N/A</v>
          </cell>
          <cell r="O183" t="str">
            <v>Spin-on Fuel Filter</v>
          </cell>
        </row>
        <row r="184">
          <cell r="K184" t="str">
            <v>LFF202</v>
          </cell>
          <cell r="L184" t="str">
            <v>HD</v>
          </cell>
          <cell r="N184" t="e">
            <v>#N/A</v>
          </cell>
          <cell r="O184" t="str">
            <v>Spin-on Fuel Filter</v>
          </cell>
        </row>
        <row r="185">
          <cell r="K185" t="str">
            <v>LFH4990</v>
          </cell>
          <cell r="L185" t="str">
            <v>HD</v>
          </cell>
          <cell r="M185" t="str">
            <v>x</v>
          </cell>
          <cell r="N185" t="str">
            <v>LFH4990</v>
          </cell>
          <cell r="O185" t="str">
            <v>Spin-on Hydraulic Filter</v>
          </cell>
        </row>
        <row r="186">
          <cell r="K186" t="str">
            <v>LFW4073</v>
          </cell>
          <cell r="L186" t="str">
            <v>HD</v>
          </cell>
          <cell r="M186" t="str">
            <v>x</v>
          </cell>
          <cell r="N186" t="e">
            <v>#N/A</v>
          </cell>
          <cell r="O186" t="str">
            <v>Spin-on Coolant Filter</v>
          </cell>
        </row>
        <row r="187">
          <cell r="K187" t="str">
            <v>LFF5850</v>
          </cell>
          <cell r="L187" t="str">
            <v>HD</v>
          </cell>
          <cell r="N187" t="e">
            <v>#N/A</v>
          </cell>
          <cell r="O187" t="str">
            <v>Bowl Style Fuel Water Separator Filter</v>
          </cell>
        </row>
        <row r="188">
          <cell r="K188" t="str">
            <v>CAF24004</v>
          </cell>
          <cell r="L188" t="str">
            <v>HD</v>
          </cell>
          <cell r="N188" t="e">
            <v>#N/A</v>
          </cell>
          <cell r="O188" t="str">
            <v>Cabin Air Filter</v>
          </cell>
        </row>
        <row r="189">
          <cell r="K189" t="str">
            <v>LFP6015</v>
          </cell>
          <cell r="L189" t="str">
            <v>HD</v>
          </cell>
          <cell r="N189" t="e">
            <v>#N/A</v>
          </cell>
          <cell r="O189" t="str">
            <v>Spin-on Oil Filter</v>
          </cell>
        </row>
        <row r="190">
          <cell r="K190" t="str">
            <v>LP2232</v>
          </cell>
          <cell r="L190" t="str">
            <v>HD</v>
          </cell>
          <cell r="N190" t="e">
            <v>#N/A</v>
          </cell>
          <cell r="O190" t="str">
            <v>Centrifugal Cartridge Oil Filter</v>
          </cell>
        </row>
        <row r="191">
          <cell r="K191" t="str">
            <v>LFF1007</v>
          </cell>
          <cell r="L191" t="str">
            <v>HD</v>
          </cell>
          <cell r="M191" t="str">
            <v>x</v>
          </cell>
          <cell r="N191" t="e">
            <v>#N/A</v>
          </cell>
          <cell r="O191" t="str">
            <v>Spin-on Fuel Filter</v>
          </cell>
        </row>
        <row r="192">
          <cell r="K192" t="str">
            <v>LFP5757</v>
          </cell>
          <cell r="L192" t="str">
            <v>HD</v>
          </cell>
          <cell r="N192" t="e">
            <v>#N/A</v>
          </cell>
          <cell r="O192" t="str">
            <v>Spin-on Oil Filter</v>
          </cell>
        </row>
        <row r="193">
          <cell r="K193" t="str">
            <v>LFP3900</v>
          </cell>
          <cell r="L193" t="str">
            <v>HD</v>
          </cell>
          <cell r="N193" t="e">
            <v>#N/A</v>
          </cell>
          <cell r="O193" t="str">
            <v>Spin-on Oil Filter</v>
          </cell>
        </row>
        <row r="194">
          <cell r="K194" t="str">
            <v>LAF2608</v>
          </cell>
          <cell r="L194" t="str">
            <v>HD</v>
          </cell>
          <cell r="M194" t="str">
            <v>x</v>
          </cell>
          <cell r="N194" t="e">
            <v>#N/A</v>
          </cell>
          <cell r="O194" t="str">
            <v>Metal-End Air Filter with Closed Top End Cap</v>
          </cell>
        </row>
        <row r="195">
          <cell r="K195" t="str">
            <v>LFH4955</v>
          </cell>
          <cell r="L195" t="str">
            <v>HD</v>
          </cell>
          <cell r="N195" t="str">
            <v>LFH4955</v>
          </cell>
          <cell r="O195" t="str">
            <v>Spin-on Hydraulic Filter</v>
          </cell>
        </row>
        <row r="196">
          <cell r="K196" t="str">
            <v>LAF1520</v>
          </cell>
          <cell r="L196" t="str">
            <v>HD</v>
          </cell>
          <cell r="M196" t="str">
            <v>x</v>
          </cell>
          <cell r="N196" t="e">
            <v>#N/A</v>
          </cell>
          <cell r="O196" t="str">
            <v>Flexible Panel Air Filter</v>
          </cell>
        </row>
        <row r="197">
          <cell r="K197" t="str">
            <v>FF2D</v>
          </cell>
          <cell r="L197" t="str">
            <v>HD</v>
          </cell>
          <cell r="N197" t="e">
            <v>#N/A</v>
          </cell>
          <cell r="O197" t="str">
            <v>Fuel Dispensing Filter</v>
          </cell>
        </row>
        <row r="198">
          <cell r="K198" t="str">
            <v>LAF695</v>
          </cell>
          <cell r="L198" t="str">
            <v>HD</v>
          </cell>
          <cell r="M198" t="str">
            <v>x</v>
          </cell>
          <cell r="N198" t="e">
            <v>#N/A</v>
          </cell>
          <cell r="O198" t="str">
            <v>HD Round Air Filter with Attached Lid</v>
          </cell>
        </row>
        <row r="199">
          <cell r="K199" t="str">
            <v>LAF1953</v>
          </cell>
          <cell r="L199" t="str">
            <v>HD</v>
          </cell>
          <cell r="N199" t="e">
            <v>#N/A</v>
          </cell>
          <cell r="O199" t="str">
            <v>Radial Seal Outer Air Filter</v>
          </cell>
        </row>
        <row r="200">
          <cell r="K200" t="str">
            <v>LAF3930</v>
          </cell>
          <cell r="L200" t="str">
            <v>HD</v>
          </cell>
          <cell r="N200" t="e">
            <v>#N/A</v>
          </cell>
          <cell r="O200" t="str">
            <v>Radial Seal Outer Air Filter</v>
          </cell>
        </row>
        <row r="201">
          <cell r="K201" t="str">
            <v>LH8504</v>
          </cell>
          <cell r="L201" t="str">
            <v>HD</v>
          </cell>
          <cell r="N201" t="e">
            <v>#N/A</v>
          </cell>
          <cell r="O201" t="str">
            <v>Cartridge Power Steering (Hydraulic) Filter</v>
          </cell>
        </row>
        <row r="202">
          <cell r="K202" t="str">
            <v>LAF1934</v>
          </cell>
          <cell r="L202" t="str">
            <v>HD</v>
          </cell>
          <cell r="M202" t="str">
            <v>x</v>
          </cell>
          <cell r="N202" t="e">
            <v>#N/A</v>
          </cell>
          <cell r="O202" t="str">
            <v>Disposible Housing Air Filter</v>
          </cell>
        </row>
        <row r="203">
          <cell r="K203" t="str">
            <v>FP587F</v>
          </cell>
          <cell r="L203" t="str">
            <v>HD</v>
          </cell>
          <cell r="M203" t="str">
            <v>x</v>
          </cell>
          <cell r="N203" t="e">
            <v>#N/A</v>
          </cell>
          <cell r="O203" t="str">
            <v>Spin-on Fuel Filter</v>
          </cell>
        </row>
        <row r="204">
          <cell r="K204" t="str">
            <v>CAF24014</v>
          </cell>
          <cell r="L204" t="str">
            <v>HD</v>
          </cell>
          <cell r="N204" t="e">
            <v>#N/A</v>
          </cell>
          <cell r="O204" t="str">
            <v>Cabin Air Filter</v>
          </cell>
        </row>
        <row r="205">
          <cell r="K205" t="str">
            <v>LAF3141</v>
          </cell>
          <cell r="L205" t="str">
            <v>HD</v>
          </cell>
          <cell r="M205" t="str">
            <v>x</v>
          </cell>
          <cell r="N205" t="e">
            <v>#N/A</v>
          </cell>
          <cell r="O205" t="str">
            <v>Flexible Panel Air Filter</v>
          </cell>
        </row>
        <row r="206">
          <cell r="K206" t="str">
            <v>L5094F</v>
          </cell>
          <cell r="L206" t="str">
            <v>HD</v>
          </cell>
          <cell r="N206" t="e">
            <v>#N/A</v>
          </cell>
          <cell r="O206" t="str">
            <v>Cartridge Fuel Water Separator Filter</v>
          </cell>
        </row>
        <row r="207">
          <cell r="K207" t="str">
            <v>LFP6027</v>
          </cell>
          <cell r="L207" t="str">
            <v>HD</v>
          </cell>
          <cell r="M207" t="str">
            <v>x</v>
          </cell>
          <cell r="N207" t="e">
            <v>#N/A</v>
          </cell>
          <cell r="O207" t="str">
            <v>Spin-on Oil Filter</v>
          </cell>
        </row>
        <row r="208">
          <cell r="K208" t="str">
            <v>LAF1899</v>
          </cell>
          <cell r="L208" t="str">
            <v>HD</v>
          </cell>
          <cell r="N208" t="e">
            <v>#N/A</v>
          </cell>
          <cell r="O208" t="str">
            <v>Cone Shaped Conical Air Filter</v>
          </cell>
        </row>
        <row r="209">
          <cell r="K209" t="str">
            <v>LFP6007</v>
          </cell>
          <cell r="L209" t="str">
            <v>HD</v>
          </cell>
          <cell r="M209" t="str">
            <v>x</v>
          </cell>
          <cell r="N209" t="e">
            <v>#N/A</v>
          </cell>
          <cell r="O209" t="str">
            <v>Spin-on Oil Filter</v>
          </cell>
        </row>
        <row r="210">
          <cell r="K210" t="str">
            <v>LFW5142XL</v>
          </cell>
          <cell r="L210" t="str">
            <v>HD</v>
          </cell>
          <cell r="M210" t="str">
            <v>x</v>
          </cell>
          <cell r="N210" t="e">
            <v>#N/A</v>
          </cell>
          <cell r="O210" t="str">
            <v>Extended Life Spin-on Coolant Filter</v>
          </cell>
        </row>
        <row r="211">
          <cell r="K211" t="str">
            <v>LAF8669</v>
          </cell>
          <cell r="L211" t="str">
            <v>HD</v>
          </cell>
          <cell r="M211" t="str">
            <v>x</v>
          </cell>
          <cell r="N211" t="e">
            <v>#N/A</v>
          </cell>
          <cell r="O211" t="str">
            <v>Radial Seal Outer Air Filter</v>
          </cell>
        </row>
        <row r="212">
          <cell r="K212" t="str">
            <v>LAF8494</v>
          </cell>
          <cell r="L212" t="str">
            <v>HD</v>
          </cell>
          <cell r="M212" t="str">
            <v>x</v>
          </cell>
          <cell r="N212" t="e">
            <v>#N/A</v>
          </cell>
          <cell r="O212" t="str">
            <v>Metal-End Air Filter with Closed Top End Cap</v>
          </cell>
        </row>
        <row r="213">
          <cell r="K213" t="str">
            <v>LFW5141XL</v>
          </cell>
          <cell r="L213" t="str">
            <v>HD</v>
          </cell>
          <cell r="M213" t="str">
            <v>x</v>
          </cell>
          <cell r="N213" t="e">
            <v>#N/A</v>
          </cell>
          <cell r="O213" t="str">
            <v>Extended Life Spin-on Coolant Filter</v>
          </cell>
        </row>
        <row r="214">
          <cell r="K214" t="str">
            <v>LAF1544</v>
          </cell>
          <cell r="L214" t="str">
            <v>HD</v>
          </cell>
          <cell r="M214" t="str">
            <v>x</v>
          </cell>
          <cell r="N214" t="e">
            <v>#N/A</v>
          </cell>
          <cell r="O214" t="str">
            <v>Finned Vane Air Filter</v>
          </cell>
        </row>
        <row r="215">
          <cell r="K215" t="str">
            <v>LFF5849U</v>
          </cell>
          <cell r="L215" t="str">
            <v>HD</v>
          </cell>
          <cell r="N215" t="e">
            <v>#N/A</v>
          </cell>
          <cell r="O215" t="str">
            <v>Bowless Style Fuel Water Separator Filter</v>
          </cell>
        </row>
        <row r="216">
          <cell r="K216" t="str">
            <v>LK364M</v>
          </cell>
          <cell r="L216" t="str">
            <v>HD</v>
          </cell>
          <cell r="M216" t="str">
            <v>x</v>
          </cell>
          <cell r="N216" t="e">
            <v>#N/A</v>
          </cell>
          <cell r="O216" t="str">
            <v>Mack Engine Maintenance Kit</v>
          </cell>
        </row>
        <row r="217">
          <cell r="K217" t="str">
            <v>LAF8148</v>
          </cell>
          <cell r="L217" t="str">
            <v>HD</v>
          </cell>
          <cell r="M217" t="str">
            <v>x</v>
          </cell>
          <cell r="N217" t="e">
            <v>#N/A</v>
          </cell>
          <cell r="O217" t="str">
            <v>Radial Seal Outer Air Filter</v>
          </cell>
        </row>
        <row r="218">
          <cell r="K218" t="str">
            <v>FP20</v>
          </cell>
          <cell r="L218" t="str">
            <v>HD</v>
          </cell>
          <cell r="M218" t="str">
            <v>x</v>
          </cell>
          <cell r="N218" t="e">
            <v>#N/A</v>
          </cell>
          <cell r="O218" t="str">
            <v>Spin-on Oil Filter</v>
          </cell>
        </row>
        <row r="219">
          <cell r="K219" t="str">
            <v>LAF7797</v>
          </cell>
          <cell r="L219" t="str">
            <v>HD</v>
          </cell>
          <cell r="M219" t="str">
            <v>x</v>
          </cell>
          <cell r="N219" t="e">
            <v>#N/A</v>
          </cell>
          <cell r="O219" t="str">
            <v>Metal-End Air Filter with Closed Top End Cap</v>
          </cell>
        </row>
        <row r="220">
          <cell r="K220" t="str">
            <v>FP570F</v>
          </cell>
          <cell r="L220" t="str">
            <v>HD</v>
          </cell>
          <cell r="M220" t="str">
            <v>x</v>
          </cell>
          <cell r="N220" t="e">
            <v>#N/A</v>
          </cell>
          <cell r="O220" t="str">
            <v>Spin-on Fuel Filter</v>
          </cell>
        </row>
        <row r="221">
          <cell r="K221" t="str">
            <v>LFP784</v>
          </cell>
          <cell r="L221" t="str">
            <v>HD</v>
          </cell>
          <cell r="N221" t="e">
            <v>#N/A</v>
          </cell>
          <cell r="O221" t="str">
            <v>Spin-on Oil Filter</v>
          </cell>
        </row>
        <row r="222">
          <cell r="K222" t="str">
            <v>FP591F</v>
          </cell>
          <cell r="L222" t="str">
            <v>HD</v>
          </cell>
          <cell r="N222" t="e">
            <v>#N/A</v>
          </cell>
          <cell r="O222" t="str">
            <v>Spin-on Fuel Filter</v>
          </cell>
        </row>
        <row r="223">
          <cell r="K223" t="str">
            <v>LFF8215</v>
          </cell>
          <cell r="L223" t="str">
            <v>HD</v>
          </cell>
          <cell r="M223" t="str">
            <v>x</v>
          </cell>
          <cell r="N223" t="e">
            <v>#N/A</v>
          </cell>
          <cell r="O223" t="str">
            <v>Snap-lock Fuel/Water Separator Filter</v>
          </cell>
        </row>
        <row r="224">
          <cell r="K224" t="str">
            <v>LFP2050</v>
          </cell>
          <cell r="L224" t="str">
            <v>HD</v>
          </cell>
          <cell r="M224" t="str">
            <v>x</v>
          </cell>
          <cell r="N224" t="e">
            <v>#N/A</v>
          </cell>
          <cell r="O224" t="str">
            <v>Spin-on Oil Filter</v>
          </cell>
        </row>
        <row r="225">
          <cell r="K225" t="str">
            <v>L4604F</v>
          </cell>
          <cell r="L225" t="str">
            <v>HD</v>
          </cell>
          <cell r="N225" t="e">
            <v>#N/A</v>
          </cell>
          <cell r="O225" t="str">
            <v>Fuel Filter Kit Primary/Secondary</v>
          </cell>
        </row>
        <row r="226">
          <cell r="K226" t="str">
            <v>LFP6241</v>
          </cell>
          <cell r="L226" t="str">
            <v>HD</v>
          </cell>
          <cell r="N226" t="e">
            <v>#N/A</v>
          </cell>
          <cell r="O226" t="str">
            <v>Spin-on Oil Filter</v>
          </cell>
        </row>
        <row r="227">
          <cell r="K227" t="str">
            <v>LFP2268</v>
          </cell>
          <cell r="L227" t="str">
            <v>HD</v>
          </cell>
          <cell r="N227" t="e">
            <v>#N/A</v>
          </cell>
          <cell r="O227" t="str">
            <v>Spin-on Oil Filter</v>
          </cell>
        </row>
        <row r="228">
          <cell r="K228" t="str">
            <v>LP5005</v>
          </cell>
          <cell r="L228" t="str">
            <v>HD</v>
          </cell>
          <cell r="N228" t="e">
            <v>#N/A</v>
          </cell>
          <cell r="O228" t="str">
            <v>Cartridge Power Steering (Hydraulic) Filter</v>
          </cell>
        </row>
        <row r="229">
          <cell r="K229" t="str">
            <v>LFF8000</v>
          </cell>
          <cell r="L229" t="str">
            <v>HD</v>
          </cell>
          <cell r="N229" t="e">
            <v>#N/A</v>
          </cell>
          <cell r="O229" t="str">
            <v>Spin-on Fuel Water Separator Filter</v>
          </cell>
        </row>
        <row r="230">
          <cell r="K230" t="str">
            <v>LAF8751</v>
          </cell>
          <cell r="L230" t="str">
            <v>HD</v>
          </cell>
          <cell r="M230" t="str">
            <v>x</v>
          </cell>
          <cell r="N230" t="e">
            <v>#N/A</v>
          </cell>
          <cell r="O230" t="str">
            <v>Disposible Housing Air Filter</v>
          </cell>
        </row>
        <row r="231">
          <cell r="K231" t="str">
            <v>LAF8388</v>
          </cell>
          <cell r="L231" t="str">
            <v>HD</v>
          </cell>
          <cell r="N231" t="e">
            <v>#N/A</v>
          </cell>
          <cell r="O231" t="str">
            <v>Radial Seal Outer Air Filter</v>
          </cell>
        </row>
        <row r="232">
          <cell r="K232" t="str">
            <v>LFF3415</v>
          </cell>
          <cell r="L232" t="str">
            <v>HD</v>
          </cell>
          <cell r="M232" t="str">
            <v>x</v>
          </cell>
          <cell r="N232" t="e">
            <v>#N/A</v>
          </cell>
          <cell r="O232" t="str">
            <v>Spin-on Fuel Filter</v>
          </cell>
        </row>
        <row r="233">
          <cell r="K233" t="str">
            <v>LFF7660</v>
          </cell>
          <cell r="L233" t="str">
            <v>HD</v>
          </cell>
          <cell r="M233" t="str">
            <v>x</v>
          </cell>
          <cell r="N233" t="e">
            <v>#N/A</v>
          </cell>
          <cell r="O233" t="str">
            <v>Spin-on Fuel Water Separator Filter</v>
          </cell>
        </row>
        <row r="234">
          <cell r="K234" t="str">
            <v>LFF3808</v>
          </cell>
          <cell r="L234" t="str">
            <v>HD</v>
          </cell>
          <cell r="M234" t="str">
            <v>x</v>
          </cell>
          <cell r="N234" t="e">
            <v>#N/A</v>
          </cell>
          <cell r="O234" t="str">
            <v>Spin-on Fuel Filter</v>
          </cell>
        </row>
        <row r="235">
          <cell r="K235" t="str">
            <v>CAF24012</v>
          </cell>
          <cell r="L235" t="str">
            <v>HD</v>
          </cell>
          <cell r="M235" t="str">
            <v>x</v>
          </cell>
          <cell r="N235" t="e">
            <v>#N/A</v>
          </cell>
          <cell r="O235" t="str">
            <v>Cabin Air Filter</v>
          </cell>
        </row>
        <row r="236">
          <cell r="K236" t="str">
            <v>PH4403</v>
          </cell>
          <cell r="L236" t="str">
            <v>HD</v>
          </cell>
          <cell r="N236" t="e">
            <v>#N/A</v>
          </cell>
          <cell r="O236" t="str">
            <v>Spin-on Oil Filter</v>
          </cell>
        </row>
        <row r="237">
          <cell r="K237" t="str">
            <v>LFW6500</v>
          </cell>
          <cell r="L237" t="str">
            <v>HD</v>
          </cell>
          <cell r="N237" t="e">
            <v>#N/A</v>
          </cell>
          <cell r="O237" t="str">
            <v>Controll Release Spin-on Coolant Filter</v>
          </cell>
        </row>
        <row r="238">
          <cell r="K238" t="str">
            <v>LP2247</v>
          </cell>
          <cell r="L238" t="str">
            <v>HD</v>
          </cell>
          <cell r="M238" t="str">
            <v>x</v>
          </cell>
          <cell r="N238" t="e">
            <v>#N/A</v>
          </cell>
          <cell r="O238" t="str">
            <v>Cartridge Oil Filter</v>
          </cell>
        </row>
        <row r="239">
          <cell r="K239" t="str">
            <v>LFF2</v>
          </cell>
          <cell r="L239" t="str">
            <v>HD</v>
          </cell>
          <cell r="M239" t="str">
            <v>x</v>
          </cell>
          <cell r="N239" t="e">
            <v>#N/A</v>
          </cell>
          <cell r="O239" t="str">
            <v>Fuel Dispensing Filter</v>
          </cell>
        </row>
        <row r="240">
          <cell r="K240" t="str">
            <v>LFF3292</v>
          </cell>
          <cell r="L240" t="str">
            <v>HD</v>
          </cell>
          <cell r="M240" t="str">
            <v>x</v>
          </cell>
          <cell r="N240" t="str">
            <v>LFF3292</v>
          </cell>
          <cell r="O240" t="str">
            <v>Spin-on Fuel Water Separator Filter</v>
          </cell>
        </row>
        <row r="241">
          <cell r="K241" t="str">
            <v>LAF6880</v>
          </cell>
          <cell r="L241" t="str">
            <v>HD</v>
          </cell>
          <cell r="M241" t="str">
            <v>x</v>
          </cell>
          <cell r="N241" t="e">
            <v>#N/A</v>
          </cell>
          <cell r="O241" t="str">
            <v>Metal-End Air Filter with Closed Top End Cap</v>
          </cell>
        </row>
        <row r="242">
          <cell r="K242" t="str">
            <v>LAF9472</v>
          </cell>
          <cell r="L242" t="str">
            <v>HD</v>
          </cell>
          <cell r="N242" t="e">
            <v>#N/A</v>
          </cell>
          <cell r="O242" t="str">
            <v>Cone Shaped Conical Air Filter</v>
          </cell>
        </row>
        <row r="243">
          <cell r="K243" t="str">
            <v>LAF1770</v>
          </cell>
          <cell r="L243" t="str">
            <v>HD</v>
          </cell>
          <cell r="M243" t="str">
            <v>x</v>
          </cell>
          <cell r="N243" t="e">
            <v>#N/A</v>
          </cell>
          <cell r="O243" t="str">
            <v>Cone Shaped Conical Air Filter</v>
          </cell>
        </row>
        <row r="244">
          <cell r="K244" t="str">
            <v>500</v>
          </cell>
          <cell r="L244" t="str">
            <v>HD</v>
          </cell>
          <cell r="M244" t="str">
            <v>x</v>
          </cell>
          <cell r="N244" t="e">
            <v>#N/A</v>
          </cell>
          <cell r="O244" t="str">
            <v>500 FLEETPAK</v>
          </cell>
        </row>
        <row r="245">
          <cell r="K245" t="str">
            <v>LFH4915</v>
          </cell>
          <cell r="L245" t="str">
            <v>HD</v>
          </cell>
          <cell r="M245" t="str">
            <v>x</v>
          </cell>
          <cell r="N245" t="str">
            <v>LFH4915</v>
          </cell>
          <cell r="O245" t="str">
            <v>Spin-on Hydraulic Filter</v>
          </cell>
        </row>
        <row r="246">
          <cell r="K246" t="str">
            <v>LFF5874</v>
          </cell>
          <cell r="L246" t="str">
            <v>HD</v>
          </cell>
          <cell r="M246" t="str">
            <v>x</v>
          </cell>
          <cell r="N246" t="e">
            <v>#N/A</v>
          </cell>
          <cell r="O246" t="str">
            <v>Spin-on Fuel Filter</v>
          </cell>
        </row>
        <row r="247">
          <cell r="K247" t="str">
            <v>LK288V</v>
          </cell>
          <cell r="L247" t="str">
            <v>HD</v>
          </cell>
          <cell r="M247" t="str">
            <v>x</v>
          </cell>
          <cell r="N247" t="e">
            <v>#N/A</v>
          </cell>
          <cell r="O247" t="str">
            <v>Volvo Engine Maintenance Kit</v>
          </cell>
        </row>
        <row r="248">
          <cell r="K248" t="str">
            <v>LAF4556</v>
          </cell>
          <cell r="L248" t="str">
            <v>HD</v>
          </cell>
          <cell r="M248" t="str">
            <v>x</v>
          </cell>
          <cell r="N248" t="e">
            <v>#N/A</v>
          </cell>
          <cell r="O248" t="str">
            <v>Primary Radial Seal Air Filter</v>
          </cell>
        </row>
        <row r="249">
          <cell r="K249" t="str">
            <v>LFP2300</v>
          </cell>
          <cell r="L249" t="str">
            <v>HD</v>
          </cell>
          <cell r="M249" t="str">
            <v>x</v>
          </cell>
          <cell r="N249" t="str">
            <v>LFP2300</v>
          </cell>
          <cell r="O249" t="str">
            <v>Spin-on Oil Filter</v>
          </cell>
        </row>
        <row r="250">
          <cell r="K250" t="str">
            <v>LFP4005G</v>
          </cell>
          <cell r="L250" t="str">
            <v>HD</v>
          </cell>
          <cell r="M250" t="str">
            <v>x</v>
          </cell>
          <cell r="N250" t="e">
            <v>#N/A</v>
          </cell>
          <cell r="O250" t="str">
            <v>Extended Life Spin-on Oil Filter</v>
          </cell>
        </row>
        <row r="251">
          <cell r="K251" t="str">
            <v>LFF3579</v>
          </cell>
          <cell r="L251" t="str">
            <v>HD</v>
          </cell>
          <cell r="N251" t="e">
            <v>#N/A</v>
          </cell>
          <cell r="O251" t="str">
            <v>Bowl Style Fuel Water Separator Filter</v>
          </cell>
        </row>
        <row r="252">
          <cell r="K252" t="str">
            <v>LH4101</v>
          </cell>
          <cell r="L252" t="str">
            <v>HD</v>
          </cell>
          <cell r="M252" t="str">
            <v>x</v>
          </cell>
          <cell r="N252" t="str">
            <v>LH4101</v>
          </cell>
          <cell r="O252" t="str">
            <v>Cartridge Power Steering Filter</v>
          </cell>
        </row>
        <row r="253">
          <cell r="K253" t="str">
            <v>LFF5002</v>
          </cell>
          <cell r="L253" t="str">
            <v>HD</v>
          </cell>
          <cell r="M253" t="str">
            <v>x</v>
          </cell>
          <cell r="N253" t="e">
            <v>#N/A</v>
          </cell>
          <cell r="O253" t="str">
            <v>Spin-on Fuel Filter</v>
          </cell>
        </row>
        <row r="254">
          <cell r="K254" t="str">
            <v>LFF8060</v>
          </cell>
          <cell r="L254" t="str">
            <v>HD</v>
          </cell>
          <cell r="M254" t="str">
            <v>x</v>
          </cell>
          <cell r="N254" t="e">
            <v>#N/A</v>
          </cell>
          <cell r="O254" t="str">
            <v>Spin-on Fuel Water Separator Filter</v>
          </cell>
        </row>
        <row r="255">
          <cell r="K255" t="str">
            <v>LFP2160XL</v>
          </cell>
          <cell r="L255" t="str">
            <v>HD</v>
          </cell>
          <cell r="M255" t="str">
            <v>x</v>
          </cell>
          <cell r="N255" t="e">
            <v>#N/A</v>
          </cell>
          <cell r="O255" t="str">
            <v>Extended Life Spin-on Oil Filter</v>
          </cell>
        </row>
        <row r="256">
          <cell r="K256" t="str">
            <v>LAF222</v>
          </cell>
          <cell r="L256" t="str">
            <v>HD</v>
          </cell>
          <cell r="M256" t="str">
            <v>x</v>
          </cell>
          <cell r="N256" t="e">
            <v>#N/A</v>
          </cell>
          <cell r="O256" t="str">
            <v>Finned Vane Air Filter</v>
          </cell>
        </row>
        <row r="257">
          <cell r="K257" t="str">
            <v>LFP8590</v>
          </cell>
          <cell r="L257" t="str">
            <v>HD</v>
          </cell>
          <cell r="M257" t="str">
            <v>x</v>
          </cell>
          <cell r="N257" t="e">
            <v>#N/A</v>
          </cell>
          <cell r="O257" t="str">
            <v>Spin-on Oil Filter</v>
          </cell>
        </row>
        <row r="258">
          <cell r="K258" t="str">
            <v>LFP2294</v>
          </cell>
          <cell r="L258" t="str">
            <v>HD</v>
          </cell>
          <cell r="M258" t="str">
            <v>x</v>
          </cell>
          <cell r="N258" t="e">
            <v>#N/A</v>
          </cell>
          <cell r="O258" t="str">
            <v>Spin-on Oil Filter</v>
          </cell>
        </row>
        <row r="259">
          <cell r="K259" t="str">
            <v>LP487</v>
          </cell>
          <cell r="L259" t="str">
            <v>HD</v>
          </cell>
          <cell r="M259" t="str">
            <v>x</v>
          </cell>
          <cell r="N259" t="e">
            <v>#N/A</v>
          </cell>
          <cell r="O259" t="str">
            <v>Power Steering Cartridge Filter</v>
          </cell>
        </row>
        <row r="260">
          <cell r="K260" t="str">
            <v>LFF3553</v>
          </cell>
          <cell r="L260" t="str">
            <v>HD</v>
          </cell>
          <cell r="M260" t="str">
            <v>x</v>
          </cell>
          <cell r="N260" t="e">
            <v>#N/A</v>
          </cell>
          <cell r="O260" t="str">
            <v>Spin-on Fuel Filter</v>
          </cell>
        </row>
        <row r="261">
          <cell r="K261" t="str">
            <v>LK161D</v>
          </cell>
          <cell r="L261" t="str">
            <v>HD</v>
          </cell>
          <cell r="M261" t="str">
            <v>x</v>
          </cell>
          <cell r="N261" t="e">
            <v>#N/A</v>
          </cell>
          <cell r="O261" t="str">
            <v>Detroit Diesel Engine Maintenance Kit</v>
          </cell>
        </row>
        <row r="262">
          <cell r="K262" t="str">
            <v>LFH4223</v>
          </cell>
          <cell r="L262" t="str">
            <v>HD</v>
          </cell>
          <cell r="M262" t="str">
            <v>x</v>
          </cell>
          <cell r="N262" t="e">
            <v>#N/A</v>
          </cell>
          <cell r="O262" t="str">
            <v>Spin-on Hydraulic Filter</v>
          </cell>
        </row>
        <row r="263">
          <cell r="K263">
            <v>920064</v>
          </cell>
          <cell r="L263" t="str">
            <v>HD</v>
          </cell>
          <cell r="M263" t="str">
            <v>x</v>
          </cell>
          <cell r="N263" t="e">
            <v>#N/A</v>
          </cell>
          <cell r="O263" t="str">
            <v>LUBERCOOL</v>
          </cell>
        </row>
        <row r="264">
          <cell r="K264" t="str">
            <v>LFF5804</v>
          </cell>
          <cell r="L264" t="str">
            <v>HD</v>
          </cell>
          <cell r="M264" t="str">
            <v>x</v>
          </cell>
          <cell r="N264" t="str">
            <v>LFF5804</v>
          </cell>
          <cell r="O264" t="str">
            <v>Spin-on Fuel Filter</v>
          </cell>
        </row>
        <row r="265">
          <cell r="K265" t="str">
            <v>FP603</v>
          </cell>
          <cell r="L265" t="str">
            <v>HD</v>
          </cell>
          <cell r="M265" t="str">
            <v>x</v>
          </cell>
          <cell r="N265" t="e">
            <v>#N/A</v>
          </cell>
          <cell r="O265" t="str">
            <v>Spin-on Fuel Filter</v>
          </cell>
        </row>
        <row r="266">
          <cell r="K266" t="str">
            <v>LAF6918</v>
          </cell>
          <cell r="L266" t="str">
            <v>HD</v>
          </cell>
          <cell r="M266" t="str">
            <v>x</v>
          </cell>
          <cell r="N266" t="e">
            <v>#N/A</v>
          </cell>
          <cell r="O266" t="str">
            <v>Metal-End Air Filter with Closed Top End Cap</v>
          </cell>
        </row>
        <row r="267">
          <cell r="K267" t="str">
            <v>LCTK12</v>
          </cell>
          <cell r="L267" t="str">
            <v>HD</v>
          </cell>
          <cell r="M267" t="str">
            <v>x</v>
          </cell>
          <cell r="N267" t="e">
            <v>#N/A</v>
          </cell>
          <cell r="O267" t="str">
            <v>Coolant Analysis Test Kit</v>
          </cell>
        </row>
        <row r="268">
          <cell r="K268" t="str">
            <v>LFF5080</v>
          </cell>
          <cell r="L268" t="str">
            <v>HD</v>
          </cell>
          <cell r="M268" t="str">
            <v>x</v>
          </cell>
          <cell r="N268" t="e">
            <v>#N/A</v>
          </cell>
          <cell r="O268" t="str">
            <v>Spin-on Fuel Filter</v>
          </cell>
        </row>
        <row r="269">
          <cell r="K269" t="str">
            <v>LAF6889</v>
          </cell>
          <cell r="L269" t="str">
            <v>HD</v>
          </cell>
          <cell r="M269" t="str">
            <v>x</v>
          </cell>
          <cell r="N269" t="e">
            <v>#N/A</v>
          </cell>
          <cell r="O269" t="str">
            <v>Corrugated Media Air Filter</v>
          </cell>
        </row>
        <row r="270">
          <cell r="K270" t="str">
            <v>LFP8340</v>
          </cell>
          <cell r="L270" t="str">
            <v>HD</v>
          </cell>
          <cell r="M270" t="str">
            <v>x</v>
          </cell>
          <cell r="N270" t="e">
            <v>#N/A</v>
          </cell>
          <cell r="O270" t="str">
            <v>Spin-on Oil Filter</v>
          </cell>
        </row>
        <row r="271">
          <cell r="K271" t="str">
            <v>L9800F</v>
          </cell>
          <cell r="L271" t="str">
            <v>HD</v>
          </cell>
          <cell r="M271" t="str">
            <v>x</v>
          </cell>
          <cell r="N271" t="e">
            <v>#N/A</v>
          </cell>
          <cell r="O271" t="str">
            <v>Cartridge Fuel Water Separator Coalescer filter</v>
          </cell>
        </row>
        <row r="272">
          <cell r="K272" t="str">
            <v>LAF8047</v>
          </cell>
          <cell r="L272" t="str">
            <v>HD</v>
          </cell>
          <cell r="N272" t="e">
            <v>#N/A</v>
          </cell>
          <cell r="O272" t="str">
            <v>HD Metal-End Air Filter with Attached Lid</v>
          </cell>
        </row>
        <row r="273">
          <cell r="K273" t="str">
            <v>LAF9102</v>
          </cell>
          <cell r="L273" t="str">
            <v>HD</v>
          </cell>
          <cell r="M273" t="str">
            <v>x</v>
          </cell>
          <cell r="N273" t="e">
            <v>#N/A</v>
          </cell>
          <cell r="O273" t="str">
            <v>Radial Seal Inner Air Filter</v>
          </cell>
        </row>
        <row r="274">
          <cell r="K274" t="str">
            <v>LFP2440</v>
          </cell>
          <cell r="L274" t="str">
            <v>HD</v>
          </cell>
          <cell r="M274" t="str">
            <v>x</v>
          </cell>
          <cell r="N274" t="str">
            <v>LFP2440</v>
          </cell>
          <cell r="O274" t="str">
            <v>Spin-on Oil Filter</v>
          </cell>
        </row>
        <row r="275">
          <cell r="K275" t="str">
            <v>LFP2222</v>
          </cell>
          <cell r="L275" t="str">
            <v>HD</v>
          </cell>
          <cell r="M275" t="str">
            <v>x</v>
          </cell>
          <cell r="N275" t="e">
            <v>#N/A</v>
          </cell>
          <cell r="O275" t="str">
            <v>Spin-on Oil Filter</v>
          </cell>
        </row>
        <row r="276">
          <cell r="K276" t="str">
            <v>LFF3806</v>
          </cell>
          <cell r="L276" t="str">
            <v>HD</v>
          </cell>
          <cell r="M276" t="str">
            <v>x</v>
          </cell>
          <cell r="N276" t="e">
            <v>#N/A</v>
          </cell>
          <cell r="O276" t="str">
            <v>Spin-on Fuel Filter</v>
          </cell>
        </row>
        <row r="277">
          <cell r="K277" t="str">
            <v>LAF6986</v>
          </cell>
          <cell r="L277" t="str">
            <v>HD</v>
          </cell>
          <cell r="M277" t="str">
            <v>x</v>
          </cell>
          <cell r="N277" t="e">
            <v>#N/A</v>
          </cell>
          <cell r="O277" t="str">
            <v>Radial Seal Air Filter, Primary</v>
          </cell>
        </row>
        <row r="278">
          <cell r="K278" t="str">
            <v>LFF9982</v>
          </cell>
          <cell r="L278" t="str">
            <v>HD</v>
          </cell>
          <cell r="M278" t="str">
            <v>x</v>
          </cell>
          <cell r="N278" t="e">
            <v>#N/A</v>
          </cell>
          <cell r="O278" t="str">
            <v>Spin-on Fuel Filter</v>
          </cell>
        </row>
        <row r="279">
          <cell r="K279" t="str">
            <v>LFF8012</v>
          </cell>
          <cell r="L279" t="str">
            <v>HD</v>
          </cell>
          <cell r="M279" t="str">
            <v>x</v>
          </cell>
          <cell r="N279" t="e">
            <v>#N/A</v>
          </cell>
          <cell r="O279" t="str">
            <v>Spin-on Fuel Filter</v>
          </cell>
        </row>
        <row r="280">
          <cell r="K280" t="str">
            <v>LP2273</v>
          </cell>
          <cell r="L280" t="str">
            <v>HD</v>
          </cell>
          <cell r="M280" t="str">
            <v>x</v>
          </cell>
          <cell r="N280" t="e">
            <v>#N/A</v>
          </cell>
          <cell r="O280" t="str">
            <v>Centrifugal Cartridge Oil Filter</v>
          </cell>
        </row>
        <row r="281">
          <cell r="K281" t="str">
            <v>LFF5D</v>
          </cell>
          <cell r="L281" t="str">
            <v>HD</v>
          </cell>
          <cell r="N281" t="e">
            <v>#N/A</v>
          </cell>
          <cell r="O281" t="str">
            <v>HD Fuel Spin-on Filter</v>
          </cell>
        </row>
        <row r="282">
          <cell r="K282" t="str">
            <v>LFF6771</v>
          </cell>
          <cell r="L282" t="str">
            <v>HD</v>
          </cell>
          <cell r="M282" t="str">
            <v>x</v>
          </cell>
          <cell r="N282" t="str">
            <v>LFF6771</v>
          </cell>
          <cell r="O282" t="str">
            <v>Spin-on Fuel Water Separator Filter</v>
          </cell>
        </row>
        <row r="283">
          <cell r="K283" t="str">
            <v>LFF8707</v>
          </cell>
          <cell r="L283" t="str">
            <v>HD</v>
          </cell>
          <cell r="M283" t="str">
            <v>x</v>
          </cell>
          <cell r="N283" t="e">
            <v>#N/A</v>
          </cell>
          <cell r="O283" t="str">
            <v>Bowl Style Fuel Water Separator Filter</v>
          </cell>
        </row>
        <row r="284">
          <cell r="K284" t="str">
            <v>LK124S</v>
          </cell>
          <cell r="L284" t="str">
            <v>HD</v>
          </cell>
          <cell r="M284" t="str">
            <v>x</v>
          </cell>
          <cell r="N284" t="e">
            <v>#N/A</v>
          </cell>
          <cell r="O284" t="str">
            <v>Spinner II Maintenance Kit</v>
          </cell>
        </row>
        <row r="285">
          <cell r="K285" t="str">
            <v>LAF8150</v>
          </cell>
          <cell r="L285" t="str">
            <v>HD</v>
          </cell>
          <cell r="M285" t="str">
            <v>x</v>
          </cell>
          <cell r="N285" t="e">
            <v>#N/A</v>
          </cell>
          <cell r="O285" t="str">
            <v>Radial Seal Outer Air Filter</v>
          </cell>
        </row>
        <row r="286">
          <cell r="K286" t="str">
            <v>LAF9540</v>
          </cell>
          <cell r="L286" t="str">
            <v>HD</v>
          </cell>
          <cell r="M286" t="str">
            <v>x</v>
          </cell>
          <cell r="N286" t="e">
            <v>#N/A</v>
          </cell>
          <cell r="O286" t="str">
            <v>Radial Seal Outer Air Filter</v>
          </cell>
        </row>
        <row r="287">
          <cell r="K287" t="str">
            <v>LAF1275</v>
          </cell>
          <cell r="L287" t="str">
            <v>HD</v>
          </cell>
          <cell r="M287" t="str">
            <v>x</v>
          </cell>
          <cell r="N287" t="e">
            <v>#N/A</v>
          </cell>
          <cell r="O287" t="str">
            <v>Finned Vane Air Filter</v>
          </cell>
        </row>
        <row r="288">
          <cell r="K288" t="str">
            <v>LFP2000C</v>
          </cell>
          <cell r="L288" t="str">
            <v>HD</v>
          </cell>
          <cell r="M288" t="str">
            <v>x</v>
          </cell>
          <cell r="N288" t="e">
            <v>#N/A</v>
          </cell>
          <cell r="O288" t="str">
            <v>Spin-on Fuel Water Separator Coalescer Filter</v>
          </cell>
        </row>
        <row r="289">
          <cell r="K289" t="str">
            <v>FP251F</v>
          </cell>
          <cell r="L289" t="str">
            <v>HD</v>
          </cell>
          <cell r="M289" t="str">
            <v>x</v>
          </cell>
          <cell r="N289" t="e">
            <v>#N/A</v>
          </cell>
          <cell r="O289" t="str">
            <v>Spin-on Fuel Filter</v>
          </cell>
        </row>
        <row r="290">
          <cell r="K290" t="str">
            <v>LAF5325</v>
          </cell>
          <cell r="L290" t="str">
            <v>HD</v>
          </cell>
          <cell r="M290" t="str">
            <v>x</v>
          </cell>
          <cell r="N290" t="e">
            <v>#N/A</v>
          </cell>
          <cell r="O290" t="str">
            <v>Radial Seal Outer Air Filter</v>
          </cell>
        </row>
        <row r="291">
          <cell r="K291" t="str">
            <v>LFW4075</v>
          </cell>
          <cell r="L291" t="str">
            <v>HD</v>
          </cell>
          <cell r="M291" t="str">
            <v>x</v>
          </cell>
          <cell r="N291" t="e">
            <v>#N/A</v>
          </cell>
          <cell r="O291" t="str">
            <v>Spin-on Coolant Filter</v>
          </cell>
        </row>
        <row r="292">
          <cell r="K292" t="str">
            <v>LAF1246</v>
          </cell>
          <cell r="L292" t="str">
            <v>HD</v>
          </cell>
          <cell r="M292" t="str">
            <v>x</v>
          </cell>
          <cell r="N292" t="e">
            <v>#N/A</v>
          </cell>
          <cell r="O292" t="str">
            <v>Finned Vane Air Filter</v>
          </cell>
        </row>
        <row r="293">
          <cell r="K293" t="str">
            <v>LFW4072</v>
          </cell>
          <cell r="L293" t="str">
            <v>HD</v>
          </cell>
          <cell r="M293" t="str">
            <v>x</v>
          </cell>
          <cell r="N293" t="e">
            <v>#N/A</v>
          </cell>
          <cell r="O293" t="str">
            <v>Spin-on Coolant Filter</v>
          </cell>
        </row>
        <row r="294">
          <cell r="K294" t="str">
            <v>LFF8762</v>
          </cell>
          <cell r="L294" t="str">
            <v>HD</v>
          </cell>
          <cell r="M294" t="str">
            <v>x</v>
          </cell>
          <cell r="N294" t="e">
            <v>#N/A</v>
          </cell>
          <cell r="O294" t="str">
            <v>Spin-on Fuel Filter</v>
          </cell>
        </row>
        <row r="295">
          <cell r="K295" t="str">
            <v>LAF6265</v>
          </cell>
          <cell r="L295" t="str">
            <v>HD</v>
          </cell>
          <cell r="M295" t="str">
            <v>x</v>
          </cell>
          <cell r="N295" t="e">
            <v>#N/A</v>
          </cell>
          <cell r="O295" t="str">
            <v>Corrugated Media Air Filter</v>
          </cell>
        </row>
        <row r="296">
          <cell r="K296" t="str">
            <v>L7662FK</v>
          </cell>
          <cell r="L296" t="str">
            <v>HD</v>
          </cell>
          <cell r="M296" t="str">
            <v>x</v>
          </cell>
          <cell r="N296" t="e">
            <v>#N/A</v>
          </cell>
          <cell r="O296" t="str">
            <v>Fuel filter kit</v>
          </cell>
        </row>
        <row r="297">
          <cell r="K297" t="str">
            <v>CAF24002</v>
          </cell>
          <cell r="L297" t="str">
            <v>HD</v>
          </cell>
          <cell r="M297" t="str">
            <v>x</v>
          </cell>
          <cell r="N297" t="e">
            <v>#N/A</v>
          </cell>
          <cell r="O297" t="str">
            <v>Cabin Air Filter</v>
          </cell>
        </row>
        <row r="298">
          <cell r="K298" t="str">
            <v>LFF3806/4806</v>
          </cell>
          <cell r="L298" t="str">
            <v>HD</v>
          </cell>
          <cell r="M298" t="str">
            <v>x</v>
          </cell>
          <cell r="N298" t="e">
            <v>#N/A</v>
          </cell>
          <cell r="O298" t="str">
            <v>Spin-on Fuel Filter</v>
          </cell>
        </row>
        <row r="299">
          <cell r="K299" t="str">
            <v>LFH5659</v>
          </cell>
          <cell r="L299" t="str">
            <v>HD</v>
          </cell>
          <cell r="M299" t="str">
            <v>x</v>
          </cell>
          <cell r="N299" t="e">
            <v>#N/A</v>
          </cell>
          <cell r="O299" t="str">
            <v>Spin-on Hydraulic Filter</v>
          </cell>
        </row>
        <row r="300">
          <cell r="K300" t="str">
            <v>L3102F</v>
          </cell>
          <cell r="L300" t="str">
            <v>HD</v>
          </cell>
          <cell r="M300" t="str">
            <v>x</v>
          </cell>
          <cell r="N300" t="e">
            <v>#N/A</v>
          </cell>
          <cell r="O300" t="str">
            <v>Snap-lock Fuel/Water Separator Filter</v>
          </cell>
        </row>
        <row r="301">
          <cell r="K301" t="str">
            <v>LAF1839</v>
          </cell>
          <cell r="L301" t="str">
            <v>HD</v>
          </cell>
          <cell r="M301" t="str">
            <v>x</v>
          </cell>
          <cell r="N301" t="e">
            <v>#N/A</v>
          </cell>
          <cell r="O301" t="str">
            <v>HD Round Air Filter with Attached Boot</v>
          </cell>
        </row>
        <row r="302">
          <cell r="K302" t="str">
            <v>LFF1001</v>
          </cell>
          <cell r="L302" t="str">
            <v>HD</v>
          </cell>
          <cell r="M302" t="str">
            <v>x</v>
          </cell>
          <cell r="N302" t="e">
            <v>#N/A</v>
          </cell>
          <cell r="O302" t="str">
            <v>Spin-on Fuel Filter</v>
          </cell>
        </row>
        <row r="303">
          <cell r="K303" t="str">
            <v>LAF5633</v>
          </cell>
          <cell r="L303" t="str">
            <v>HD</v>
          </cell>
          <cell r="M303" t="str">
            <v>x</v>
          </cell>
          <cell r="N303" t="e">
            <v>#N/A</v>
          </cell>
          <cell r="O303" t="str">
            <v>Radial Seal Outer Air Filter</v>
          </cell>
        </row>
        <row r="304">
          <cell r="K304" t="str">
            <v>L4609F</v>
          </cell>
          <cell r="L304" t="str">
            <v>HD</v>
          </cell>
          <cell r="M304" t="str">
            <v>x</v>
          </cell>
          <cell r="N304" t="e">
            <v>#N/A</v>
          </cell>
          <cell r="O304" t="str">
            <v>Fuel Filter Kit Primary/Secondary</v>
          </cell>
        </row>
        <row r="305">
          <cell r="K305" t="str">
            <v>LAF4503</v>
          </cell>
          <cell r="L305" t="str">
            <v>HD</v>
          </cell>
          <cell r="M305" t="str">
            <v>x</v>
          </cell>
          <cell r="N305" t="e">
            <v>#N/A</v>
          </cell>
          <cell r="O305" t="str">
            <v>Radial Seal Outer Air Filter</v>
          </cell>
        </row>
        <row r="306">
          <cell r="K306" t="str">
            <v>LFF6816XL</v>
          </cell>
          <cell r="L306" t="str">
            <v>HD</v>
          </cell>
          <cell r="M306" t="str">
            <v>x</v>
          </cell>
          <cell r="N306" t="e">
            <v>#N/A</v>
          </cell>
          <cell r="O306" t="str">
            <v>Spin-on Fuel Filter</v>
          </cell>
        </row>
        <row r="307">
          <cell r="K307" t="str">
            <v>LFP734</v>
          </cell>
          <cell r="L307" t="str">
            <v>HD</v>
          </cell>
          <cell r="M307" t="str">
            <v>x</v>
          </cell>
          <cell r="N307" t="e">
            <v>#N/A</v>
          </cell>
          <cell r="O307" t="str">
            <v>Spin-on Oil Filter</v>
          </cell>
        </row>
        <row r="308">
          <cell r="K308" t="str">
            <v>LAF9104</v>
          </cell>
          <cell r="L308" t="str">
            <v>HD</v>
          </cell>
          <cell r="M308" t="str">
            <v>x</v>
          </cell>
          <cell r="N308" t="e">
            <v>#N/A</v>
          </cell>
          <cell r="O308" t="str">
            <v>Corrugated Media Air Filter</v>
          </cell>
        </row>
        <row r="309">
          <cell r="K309" t="str">
            <v>LAF9547</v>
          </cell>
          <cell r="L309" t="str">
            <v>HD</v>
          </cell>
          <cell r="M309" t="str">
            <v>x</v>
          </cell>
          <cell r="N309" t="e">
            <v>#N/A</v>
          </cell>
          <cell r="O309" t="str">
            <v>Radial Seal Outer Air Filter</v>
          </cell>
        </row>
        <row r="310">
          <cell r="K310" t="str">
            <v>L3523F</v>
          </cell>
          <cell r="L310" t="str">
            <v>HD</v>
          </cell>
          <cell r="N310" t="e">
            <v>#N/A</v>
          </cell>
          <cell r="O310" t="str">
            <v>Cartridge Fuel Filter</v>
          </cell>
        </row>
        <row r="311">
          <cell r="K311" t="str">
            <v>LFF1201</v>
          </cell>
          <cell r="L311" t="str">
            <v>HD</v>
          </cell>
          <cell r="M311" t="str">
            <v>x</v>
          </cell>
          <cell r="N311" t="e">
            <v>#N/A</v>
          </cell>
          <cell r="O311" t="str">
            <v>Spin-on Fuel Filter</v>
          </cell>
        </row>
        <row r="312">
          <cell r="K312" t="str">
            <v>LFH5876</v>
          </cell>
          <cell r="L312" t="str">
            <v>HD</v>
          </cell>
          <cell r="M312" t="str">
            <v>x</v>
          </cell>
          <cell r="N312" t="e">
            <v>#N/A</v>
          </cell>
          <cell r="O312" t="str">
            <v>Spin-on Hydraulic Filter</v>
          </cell>
        </row>
        <row r="313">
          <cell r="K313" t="str">
            <v>LFP3693F</v>
          </cell>
          <cell r="L313" t="str">
            <v>HD</v>
          </cell>
          <cell r="M313" t="str">
            <v>x</v>
          </cell>
          <cell r="N313" t="e">
            <v>#N/A</v>
          </cell>
          <cell r="O313" t="str">
            <v>Spin-on Fuel Filter</v>
          </cell>
        </row>
        <row r="314">
          <cell r="K314" t="str">
            <v>L8868F</v>
          </cell>
          <cell r="L314" t="str">
            <v>HD</v>
          </cell>
          <cell r="M314" t="str">
            <v>x</v>
          </cell>
          <cell r="N314" t="e">
            <v>#N/A</v>
          </cell>
          <cell r="O314" t="str">
            <v>Snap-Lock Fuel Filter</v>
          </cell>
        </row>
        <row r="315">
          <cell r="K315" t="str">
            <v>LFP4005SC</v>
          </cell>
          <cell r="L315" t="str">
            <v>HD</v>
          </cell>
          <cell r="M315" t="str">
            <v>x</v>
          </cell>
          <cell r="N315" t="e">
            <v>#N/A</v>
          </cell>
          <cell r="O315" t="str">
            <v>Spin-on Oil Filter</v>
          </cell>
        </row>
        <row r="316">
          <cell r="K316" t="str">
            <v>LFF2040N</v>
          </cell>
          <cell r="L316" t="str">
            <v>HD</v>
          </cell>
          <cell r="M316" t="str">
            <v>x</v>
          </cell>
          <cell r="N316" t="e">
            <v>#N/A</v>
          </cell>
          <cell r="O316" t="str">
            <v>Cartridge Fuel Filter</v>
          </cell>
        </row>
        <row r="317">
          <cell r="K317" t="str">
            <v>LAF7472</v>
          </cell>
          <cell r="L317" t="str">
            <v>HD</v>
          </cell>
          <cell r="M317" t="str">
            <v>x</v>
          </cell>
          <cell r="N317" t="e">
            <v>#N/A</v>
          </cell>
          <cell r="O317" t="str">
            <v>Cone Shaped Conical Air Filter</v>
          </cell>
        </row>
        <row r="318">
          <cell r="K318" t="str">
            <v>LFF902</v>
          </cell>
          <cell r="L318" t="str">
            <v>HD</v>
          </cell>
          <cell r="M318" t="str">
            <v>x</v>
          </cell>
          <cell r="N318" t="e">
            <v>#N/A</v>
          </cell>
          <cell r="O318" t="str">
            <v>Bowl Style Fuel Water Separator Filter</v>
          </cell>
        </row>
        <row r="319">
          <cell r="K319" t="str">
            <v>LFP2275</v>
          </cell>
          <cell r="L319" t="str">
            <v>HD</v>
          </cell>
          <cell r="M319" t="str">
            <v>x</v>
          </cell>
          <cell r="N319" t="e">
            <v>#N/A</v>
          </cell>
          <cell r="O319" t="str">
            <v>Spin-on Oil Filter</v>
          </cell>
        </row>
        <row r="320">
          <cell r="K320" t="str">
            <v>L3887F</v>
          </cell>
          <cell r="L320" t="str">
            <v>HD</v>
          </cell>
          <cell r="M320" t="str">
            <v>x</v>
          </cell>
          <cell r="N320" t="e">
            <v>#N/A</v>
          </cell>
          <cell r="O320" t="str">
            <v>Snap-Lock Fuel Filter</v>
          </cell>
        </row>
        <row r="321">
          <cell r="K321" t="str">
            <v>LFP5748</v>
          </cell>
          <cell r="L321" t="str">
            <v>HD</v>
          </cell>
          <cell r="M321" t="str">
            <v>x</v>
          </cell>
          <cell r="N321" t="e">
            <v>#N/A</v>
          </cell>
          <cell r="O321" t="str">
            <v>Spin-on Oil Filter</v>
          </cell>
        </row>
        <row r="322">
          <cell r="K322" t="str">
            <v>LAF8430</v>
          </cell>
          <cell r="L322" t="str">
            <v>HD</v>
          </cell>
          <cell r="M322" t="str">
            <v>x</v>
          </cell>
          <cell r="N322" t="e">
            <v>#N/A</v>
          </cell>
          <cell r="O322" t="str">
            <v>Radial Seal Outer Air Filter</v>
          </cell>
        </row>
        <row r="323">
          <cell r="K323" t="str">
            <v>OUTLET</v>
          </cell>
          <cell r="L323" t="str">
            <v>HD</v>
          </cell>
          <cell r="M323" t="str">
            <v>x</v>
          </cell>
          <cell r="N323" t="e">
            <v>#N/A</v>
          </cell>
          <cell r="O323" t="str">
            <v>Outlet Check Valve Assembly/500B, C, 750-C, CT</v>
          </cell>
        </row>
        <row r="324">
          <cell r="K324" t="str">
            <v>LFH4959</v>
          </cell>
          <cell r="L324" t="str">
            <v>HD</v>
          </cell>
          <cell r="M324" t="str">
            <v>x</v>
          </cell>
          <cell r="N324" t="str">
            <v>LFH4959</v>
          </cell>
          <cell r="O324" t="str">
            <v>Spin-on Hydraulic Filter</v>
          </cell>
        </row>
        <row r="325">
          <cell r="K325" t="str">
            <v>L9730F</v>
          </cell>
          <cell r="L325" t="str">
            <v>HD</v>
          </cell>
          <cell r="M325" t="str">
            <v>x</v>
          </cell>
          <cell r="N325" t="e">
            <v>#N/A</v>
          </cell>
          <cell r="O325" t="str">
            <v>Cartridge Fuel Water Separator Filter</v>
          </cell>
        </row>
        <row r="326">
          <cell r="K326" t="str">
            <v>LAF237</v>
          </cell>
          <cell r="L326" t="str">
            <v>HD</v>
          </cell>
          <cell r="M326" t="str">
            <v>x</v>
          </cell>
          <cell r="N326" t="e">
            <v>#N/A</v>
          </cell>
          <cell r="O326" t="str">
            <v>Finned Vane Air Filter</v>
          </cell>
        </row>
        <row r="327">
          <cell r="K327" t="str">
            <v>L7663F</v>
          </cell>
          <cell r="O327" t="str">
            <v>Cartridge Fuel Filter</v>
          </cell>
        </row>
        <row r="328">
          <cell r="K328" t="str">
            <v>LOSK-1</v>
          </cell>
          <cell r="L328" t="str">
            <v>HD</v>
          </cell>
          <cell r="M328" t="str">
            <v>x</v>
          </cell>
          <cell r="N328" t="e">
            <v>#N/A</v>
          </cell>
          <cell r="O328" t="str">
            <v>Oil Analysis Test Kit</v>
          </cell>
        </row>
        <row r="329">
          <cell r="K329" t="str">
            <v>LAF1829</v>
          </cell>
          <cell r="L329" t="str">
            <v>HD</v>
          </cell>
          <cell r="M329" t="str">
            <v>x</v>
          </cell>
          <cell r="N329" t="str">
            <v>LAF1829</v>
          </cell>
          <cell r="O329" t="str">
            <v>Disposible Housing Air Filter</v>
          </cell>
        </row>
        <row r="330">
          <cell r="K330" t="str">
            <v>LAF8691</v>
          </cell>
          <cell r="L330" t="str">
            <v>HD</v>
          </cell>
          <cell r="M330" t="str">
            <v>x</v>
          </cell>
          <cell r="N330" t="e">
            <v>#N/A</v>
          </cell>
          <cell r="O330" t="str">
            <v>Radial Seal Outer Air Filter</v>
          </cell>
        </row>
        <row r="331">
          <cell r="K331" t="str">
            <v>LAF6923</v>
          </cell>
          <cell r="L331" t="str">
            <v>HD</v>
          </cell>
          <cell r="M331" t="str">
            <v>x</v>
          </cell>
          <cell r="N331" t="e">
            <v>#N/A</v>
          </cell>
          <cell r="O331" t="str">
            <v>Radial Seal Inner Air Filter</v>
          </cell>
        </row>
        <row r="332">
          <cell r="K332" t="str">
            <v>LAF1787</v>
          </cell>
          <cell r="L332" t="str">
            <v>HD</v>
          </cell>
          <cell r="M332" t="str">
            <v>x</v>
          </cell>
          <cell r="N332" t="e">
            <v>#N/A</v>
          </cell>
          <cell r="O332" t="str">
            <v>HD Metal-End Air Filter</v>
          </cell>
        </row>
        <row r="333">
          <cell r="K333" t="str">
            <v>LAF8765</v>
          </cell>
          <cell r="L333" t="str">
            <v>HD</v>
          </cell>
          <cell r="M333" t="str">
            <v>x</v>
          </cell>
          <cell r="N333" t="e">
            <v>#N/A</v>
          </cell>
          <cell r="O333" t="str">
            <v>Radial Seal Outer Air Filter</v>
          </cell>
        </row>
        <row r="334">
          <cell r="K334" t="str">
            <v>LFP3729</v>
          </cell>
          <cell r="L334" t="str">
            <v>HD</v>
          </cell>
          <cell r="M334" t="str">
            <v>x</v>
          </cell>
          <cell r="N334" t="e">
            <v>#N/A</v>
          </cell>
          <cell r="O334" t="str">
            <v>Spin-on Oil Filter</v>
          </cell>
        </row>
        <row r="335">
          <cell r="K335" t="str">
            <v>LFH4910</v>
          </cell>
          <cell r="L335" t="str">
            <v>HD</v>
          </cell>
          <cell r="M335" t="str">
            <v>x</v>
          </cell>
          <cell r="N335" t="str">
            <v>LFH4910</v>
          </cell>
          <cell r="O335" t="str">
            <v>Spin-on Hydraulic Filter</v>
          </cell>
        </row>
        <row r="336">
          <cell r="K336" t="str">
            <v>LAF3407</v>
          </cell>
          <cell r="L336" t="str">
            <v>HD</v>
          </cell>
          <cell r="M336" t="str">
            <v>x</v>
          </cell>
          <cell r="N336" t="e">
            <v>#N/A</v>
          </cell>
          <cell r="O336" t="str">
            <v>Panel Air Filter Metal Framed</v>
          </cell>
        </row>
        <row r="337">
          <cell r="K337" t="str">
            <v>750</v>
          </cell>
          <cell r="L337" t="str">
            <v>HD</v>
          </cell>
          <cell r="M337" t="str">
            <v>x</v>
          </cell>
          <cell r="N337" t="e">
            <v>#N/A</v>
          </cell>
          <cell r="O337" t="str">
            <v>Refining Oil Filter Element used in Luberfiner 750 Units</v>
          </cell>
        </row>
        <row r="338">
          <cell r="K338" t="str">
            <v>LAF8149</v>
          </cell>
          <cell r="L338" t="str">
            <v>HD</v>
          </cell>
          <cell r="M338" t="str">
            <v>x</v>
          </cell>
          <cell r="N338" t="e">
            <v>#N/A</v>
          </cell>
          <cell r="O338" t="str">
            <v>Radial Seal Outer Air Filter</v>
          </cell>
        </row>
        <row r="339">
          <cell r="K339" t="str">
            <v>LFP7217</v>
          </cell>
          <cell r="L339" t="str">
            <v>HD</v>
          </cell>
          <cell r="M339" t="str">
            <v>x</v>
          </cell>
          <cell r="N339" t="e">
            <v>#N/A</v>
          </cell>
          <cell r="O339" t="str">
            <v>Spin-on Oil Filter</v>
          </cell>
        </row>
        <row r="340">
          <cell r="K340" t="str">
            <v>L6161F</v>
          </cell>
          <cell r="L340" t="str">
            <v>HD</v>
          </cell>
          <cell r="M340" t="str">
            <v>x</v>
          </cell>
          <cell r="N340" t="e">
            <v>#N/A</v>
          </cell>
          <cell r="O340" t="str">
            <v>Cartridge Fuel Filter</v>
          </cell>
        </row>
        <row r="341">
          <cell r="K341" t="str">
            <v>LAF292</v>
          </cell>
          <cell r="L341" t="str">
            <v>HD</v>
          </cell>
          <cell r="M341" t="str">
            <v>x</v>
          </cell>
          <cell r="N341" t="e">
            <v>#N/A</v>
          </cell>
          <cell r="O341" t="str">
            <v>Round Plastisol Air Filter</v>
          </cell>
        </row>
        <row r="342">
          <cell r="K342" t="str">
            <v>LFF6770</v>
          </cell>
          <cell r="L342" t="str">
            <v>HD</v>
          </cell>
          <cell r="M342" t="str">
            <v>x</v>
          </cell>
          <cell r="N342" t="str">
            <v>LFF6770</v>
          </cell>
          <cell r="O342" t="str">
            <v>Spin-on Fuel Water Separator Filter</v>
          </cell>
        </row>
        <row r="343">
          <cell r="K343" t="str">
            <v>LAF7413</v>
          </cell>
          <cell r="L343" t="str">
            <v>HD</v>
          </cell>
          <cell r="M343" t="str">
            <v>x</v>
          </cell>
          <cell r="N343" t="e">
            <v>#N/A</v>
          </cell>
          <cell r="O343" t="str">
            <v>HD Metal-End Air Filter</v>
          </cell>
        </row>
        <row r="344">
          <cell r="K344" t="str">
            <v>L2021F</v>
          </cell>
          <cell r="L344" t="str">
            <v>HD</v>
          </cell>
          <cell r="M344" t="str">
            <v>x</v>
          </cell>
          <cell r="N344" t="e">
            <v>#N/A</v>
          </cell>
          <cell r="O344" t="str">
            <v>Cartridge Fuel Water Separator Filter</v>
          </cell>
        </row>
        <row r="345">
          <cell r="K345" t="str">
            <v>LP2017</v>
          </cell>
          <cell r="L345" t="str">
            <v>HD</v>
          </cell>
          <cell r="M345" t="str">
            <v>x</v>
          </cell>
          <cell r="N345" t="e">
            <v>#N/A</v>
          </cell>
          <cell r="O345" t="str">
            <v>Oil filter and Cap for Ford Super Duty Diesel trucks</v>
          </cell>
        </row>
        <row r="346">
          <cell r="K346" t="str">
            <v>LAF4505</v>
          </cell>
          <cell r="L346" t="str">
            <v>HD</v>
          </cell>
          <cell r="M346" t="str">
            <v>x</v>
          </cell>
          <cell r="N346" t="e">
            <v>#N/A</v>
          </cell>
          <cell r="O346" t="str">
            <v>Radial Seal Outer Air Filter</v>
          </cell>
        </row>
        <row r="347">
          <cell r="K347" t="str">
            <v>LAF9500</v>
          </cell>
          <cell r="L347" t="str">
            <v>HD</v>
          </cell>
          <cell r="M347" t="str">
            <v>x</v>
          </cell>
          <cell r="N347" t="e">
            <v>#N/A</v>
          </cell>
          <cell r="O347" t="str">
            <v>Radial Seal Outer Air Filter</v>
          </cell>
        </row>
        <row r="348">
          <cell r="K348" t="str">
            <v>LAF8693</v>
          </cell>
          <cell r="L348" t="str">
            <v>HD</v>
          </cell>
          <cell r="M348" t="str">
            <v>x</v>
          </cell>
          <cell r="N348" t="e">
            <v>#N/A</v>
          </cell>
          <cell r="O348" t="str">
            <v>Radial Seal Inner Air Filter</v>
          </cell>
        </row>
        <row r="349">
          <cell r="K349" t="str">
            <v>LH5747</v>
          </cell>
          <cell r="L349" t="str">
            <v>HD</v>
          </cell>
          <cell r="M349" t="str">
            <v>x</v>
          </cell>
          <cell r="N349" t="e">
            <v>#N/A</v>
          </cell>
          <cell r="O349" t="str">
            <v>Cartridge Hydraulic Filter</v>
          </cell>
        </row>
        <row r="350">
          <cell r="K350" t="str">
            <v>LAF6922</v>
          </cell>
          <cell r="L350" t="str">
            <v>HD</v>
          </cell>
          <cell r="M350" t="str">
            <v>x</v>
          </cell>
          <cell r="N350" t="e">
            <v>#N/A</v>
          </cell>
          <cell r="O350" t="str">
            <v>Radial Seal Outer Air Filter</v>
          </cell>
        </row>
        <row r="351">
          <cell r="K351" t="str">
            <v>LFP928F</v>
          </cell>
          <cell r="L351" t="str">
            <v>HD</v>
          </cell>
          <cell r="M351" t="str">
            <v>x</v>
          </cell>
          <cell r="N351" t="e">
            <v>#N/A</v>
          </cell>
          <cell r="O351" t="str">
            <v>Spin-on Fuel Filter</v>
          </cell>
        </row>
        <row r="352">
          <cell r="K352" t="str">
            <v>LAF6664</v>
          </cell>
          <cell r="L352" t="str">
            <v>HD</v>
          </cell>
          <cell r="M352" t="str">
            <v>x</v>
          </cell>
          <cell r="N352" t="e">
            <v>#N/A</v>
          </cell>
          <cell r="O352" t="str">
            <v>Radial Seal Inner Air Filter</v>
          </cell>
        </row>
        <row r="353">
          <cell r="K353" t="str">
            <v>L1011F</v>
          </cell>
          <cell r="L353" t="str">
            <v>HD</v>
          </cell>
          <cell r="M353" t="str">
            <v>x</v>
          </cell>
          <cell r="N353" t="e">
            <v>#N/A</v>
          </cell>
          <cell r="O353" t="str">
            <v>Cartridge Fuel Filter</v>
          </cell>
        </row>
        <row r="354">
          <cell r="K354" t="str">
            <v>LFW5875</v>
          </cell>
          <cell r="L354" t="str">
            <v>HD</v>
          </cell>
          <cell r="M354" t="str">
            <v>x</v>
          </cell>
          <cell r="N354" t="e">
            <v>#N/A</v>
          </cell>
          <cell r="O354" t="str">
            <v>Spin-on Coolant Filter</v>
          </cell>
        </row>
        <row r="355">
          <cell r="K355" t="str">
            <v>LFW4686</v>
          </cell>
          <cell r="L355" t="str">
            <v>HD</v>
          </cell>
          <cell r="M355" t="str">
            <v>x</v>
          </cell>
          <cell r="N355" t="e">
            <v>#N/A</v>
          </cell>
          <cell r="O355" t="str">
            <v>Spin-on Coolant Filter</v>
          </cell>
        </row>
        <row r="356">
          <cell r="K356" t="str">
            <v>LFF3579U</v>
          </cell>
          <cell r="L356" t="str">
            <v>HD</v>
          </cell>
          <cell r="M356" t="str">
            <v>x</v>
          </cell>
          <cell r="N356" t="e">
            <v>#N/A</v>
          </cell>
          <cell r="O356" t="str">
            <v>Bowless Fuel Water Separator Filter</v>
          </cell>
        </row>
        <row r="357">
          <cell r="K357" t="str">
            <v>LFP3404A</v>
          </cell>
          <cell r="L357" t="str">
            <v>HD</v>
          </cell>
          <cell r="M357" t="str">
            <v>x</v>
          </cell>
          <cell r="N357" t="e">
            <v>#N/A</v>
          </cell>
          <cell r="O357" t="str">
            <v>Spin-on Oil Filter</v>
          </cell>
        </row>
        <row r="358">
          <cell r="K358" t="str">
            <v>LAF2947</v>
          </cell>
          <cell r="L358" t="str">
            <v>HD</v>
          </cell>
          <cell r="M358" t="str">
            <v>x</v>
          </cell>
          <cell r="N358" t="e">
            <v>#N/A</v>
          </cell>
          <cell r="O358" t="str">
            <v>Corrugated Media Air Filter</v>
          </cell>
        </row>
        <row r="359">
          <cell r="K359" t="str">
            <v>LAF6127</v>
          </cell>
          <cell r="L359" t="str">
            <v>HD</v>
          </cell>
          <cell r="M359" t="str">
            <v>x</v>
          </cell>
          <cell r="N359" t="e">
            <v>#N/A</v>
          </cell>
          <cell r="O359" t="str">
            <v>HD Round Air Filter with Attached Boot</v>
          </cell>
        </row>
        <row r="360">
          <cell r="K360" t="str">
            <v>L8872F</v>
          </cell>
          <cell r="L360" t="str">
            <v>HD</v>
          </cell>
          <cell r="M360" t="str">
            <v>x</v>
          </cell>
          <cell r="N360" t="e">
            <v>#N/A</v>
          </cell>
          <cell r="O360" t="str">
            <v>Snap-Lock Fuel Filter</v>
          </cell>
        </row>
        <row r="361">
          <cell r="K361" t="str">
            <v>PH832</v>
          </cell>
          <cell r="L361" t="str">
            <v>HD</v>
          </cell>
          <cell r="N361" t="e">
            <v>#N/A</v>
          </cell>
          <cell r="O361" t="str">
            <v>Spin-on Oil Filter</v>
          </cell>
        </row>
        <row r="362">
          <cell r="K362" t="str">
            <v>LAF9538</v>
          </cell>
          <cell r="L362" t="str">
            <v>HD</v>
          </cell>
          <cell r="M362" t="str">
            <v>x</v>
          </cell>
          <cell r="N362" t="e">
            <v>#N/A</v>
          </cell>
          <cell r="O362" t="str">
            <v>Finned Vane Air Filter</v>
          </cell>
        </row>
        <row r="363">
          <cell r="K363" t="str">
            <v>LAF1646</v>
          </cell>
          <cell r="L363" t="str">
            <v>HD</v>
          </cell>
          <cell r="M363" t="str">
            <v>x</v>
          </cell>
          <cell r="N363" t="e">
            <v>#N/A</v>
          </cell>
          <cell r="O363" t="str">
            <v>Corrugated Media Air Filter</v>
          </cell>
        </row>
        <row r="364">
          <cell r="K364">
            <v>1586</v>
          </cell>
          <cell r="L364" t="str">
            <v>HD</v>
          </cell>
          <cell r="M364" t="str">
            <v>x</v>
          </cell>
          <cell r="N364" t="e">
            <v>#N/A</v>
          </cell>
          <cell r="O364" t="str">
            <v>Seal Washer, Aluminum/500-B, C, 750-B, C, F-120, F-155</v>
          </cell>
        </row>
        <row r="365">
          <cell r="K365" t="str">
            <v>LFP6023</v>
          </cell>
          <cell r="L365" t="str">
            <v>HD</v>
          </cell>
          <cell r="M365" t="str">
            <v>x</v>
          </cell>
          <cell r="N365" t="str">
            <v>LFP6023</v>
          </cell>
          <cell r="O365" t="str">
            <v>Spin-on Oil Filter</v>
          </cell>
        </row>
        <row r="366">
          <cell r="K366" t="str">
            <v>LP2243</v>
          </cell>
          <cell r="L366" t="str">
            <v>HD</v>
          </cell>
          <cell r="M366" t="str">
            <v>x</v>
          </cell>
          <cell r="N366" t="e">
            <v>#N/A</v>
          </cell>
          <cell r="O366" t="str">
            <v>Cartridge Oil Filter</v>
          </cell>
        </row>
        <row r="367">
          <cell r="K367">
            <v>2788</v>
          </cell>
          <cell r="L367" t="str">
            <v>HD</v>
          </cell>
          <cell r="M367" t="str">
            <v>x</v>
          </cell>
          <cell r="N367" t="e">
            <v>#N/A</v>
          </cell>
          <cell r="O367" t="str">
            <v>Cover Gasket, Buna-N/500-C, 750-3C, 970-C</v>
          </cell>
        </row>
        <row r="368">
          <cell r="K368" t="str">
            <v>LP5979</v>
          </cell>
          <cell r="L368" t="str">
            <v>HD</v>
          </cell>
          <cell r="M368" t="str">
            <v>x</v>
          </cell>
          <cell r="N368" t="e">
            <v>#N/A</v>
          </cell>
          <cell r="O368" t="str">
            <v>Cartridge Oil Filter</v>
          </cell>
        </row>
        <row r="369">
          <cell r="K369" t="str">
            <v>LFH4204</v>
          </cell>
          <cell r="L369" t="str">
            <v>HD</v>
          </cell>
          <cell r="M369" t="str">
            <v>x</v>
          </cell>
          <cell r="N369" t="str">
            <v>LFH4204</v>
          </cell>
          <cell r="O369" t="str">
            <v>Spin-on Hydraulic Filter</v>
          </cell>
        </row>
        <row r="370">
          <cell r="K370" t="str">
            <v>LFF1129</v>
          </cell>
          <cell r="L370" t="str">
            <v>HD</v>
          </cell>
          <cell r="M370" t="str">
            <v>x</v>
          </cell>
          <cell r="N370" t="str">
            <v>LFF1129</v>
          </cell>
          <cell r="O370" t="str">
            <v>Spin-on Fuel Filter</v>
          </cell>
        </row>
        <row r="371">
          <cell r="K371" t="str">
            <v>LFF4295</v>
          </cell>
          <cell r="L371" t="str">
            <v>HD</v>
          </cell>
          <cell r="N371" t="e">
            <v>#N/A</v>
          </cell>
          <cell r="O371" t="str">
            <v>Spin-on Fuel Filter</v>
          </cell>
        </row>
        <row r="372">
          <cell r="K372" t="str">
            <v>LAF6725</v>
          </cell>
          <cell r="L372" t="str">
            <v>HD</v>
          </cell>
          <cell r="M372" t="str">
            <v>x</v>
          </cell>
          <cell r="N372" t="e">
            <v>#N/A</v>
          </cell>
          <cell r="O372" t="str">
            <v>Corrugated Media Air Filter</v>
          </cell>
        </row>
        <row r="373">
          <cell r="K373" t="str">
            <v>LP5090A</v>
          </cell>
          <cell r="L373" t="str">
            <v>HD</v>
          </cell>
          <cell r="O373" t="str">
            <v>Cartridge Oil Filter</v>
          </cell>
        </row>
        <row r="374">
          <cell r="K374" t="str">
            <v>LFF5510</v>
          </cell>
          <cell r="L374" t="str">
            <v>HD</v>
          </cell>
          <cell r="M374" t="str">
            <v>x</v>
          </cell>
          <cell r="N374" t="e">
            <v>#N/A</v>
          </cell>
          <cell r="O374" t="str">
            <v>Fuel Dispensing Filter</v>
          </cell>
        </row>
        <row r="375">
          <cell r="K375" t="str">
            <v>LFF15</v>
          </cell>
          <cell r="L375" t="str">
            <v>HD</v>
          </cell>
          <cell r="M375" t="str">
            <v>x</v>
          </cell>
          <cell r="N375" t="e">
            <v>#N/A</v>
          </cell>
          <cell r="O375" t="str">
            <v>Fuel Dispensing Filter</v>
          </cell>
        </row>
        <row r="376">
          <cell r="K376" t="str">
            <v>LAF5980</v>
          </cell>
          <cell r="L376" t="str">
            <v>HD</v>
          </cell>
          <cell r="M376" t="str">
            <v>x</v>
          </cell>
          <cell r="N376" t="e">
            <v>#N/A</v>
          </cell>
          <cell r="O376" t="str">
            <v>Flexible Panel Air Filter</v>
          </cell>
        </row>
        <row r="377">
          <cell r="K377" t="str">
            <v>L6285F</v>
          </cell>
          <cell r="L377" t="str">
            <v>HD</v>
          </cell>
          <cell r="M377" t="str">
            <v>x</v>
          </cell>
          <cell r="N377" t="e">
            <v>#N/A</v>
          </cell>
          <cell r="O377" t="str">
            <v>Box Type Fuel Filter</v>
          </cell>
        </row>
        <row r="378">
          <cell r="K378" t="str">
            <v>CAF24013</v>
          </cell>
          <cell r="L378" t="str">
            <v>HD</v>
          </cell>
          <cell r="M378" t="str">
            <v>x</v>
          </cell>
          <cell r="N378" t="e">
            <v>#N/A</v>
          </cell>
          <cell r="O378" t="str">
            <v>Cabin Air Filter</v>
          </cell>
        </row>
        <row r="379">
          <cell r="K379" t="str">
            <v>LAF2886</v>
          </cell>
          <cell r="L379" t="str">
            <v>HD</v>
          </cell>
          <cell r="M379" t="str">
            <v>x</v>
          </cell>
          <cell r="N379" t="e">
            <v>#N/A</v>
          </cell>
          <cell r="O379" t="str">
            <v>Corrugated Media Air Filter</v>
          </cell>
        </row>
        <row r="380">
          <cell r="K380" t="str">
            <v>CAF24024</v>
          </cell>
          <cell r="L380" t="str">
            <v>HD</v>
          </cell>
          <cell r="M380" t="str">
            <v>x</v>
          </cell>
          <cell r="N380" t="e">
            <v>#N/A</v>
          </cell>
          <cell r="O380" t="str">
            <v>Cabin Air Filter</v>
          </cell>
        </row>
        <row r="381">
          <cell r="K381" t="str">
            <v>LFP1101F</v>
          </cell>
          <cell r="L381" t="str">
            <v>HD</v>
          </cell>
          <cell r="M381" t="str">
            <v>x</v>
          </cell>
          <cell r="N381" t="e">
            <v>#N/A</v>
          </cell>
          <cell r="O381" t="str">
            <v>Spin-on Fuel Filter</v>
          </cell>
        </row>
        <row r="382">
          <cell r="K382" t="str">
            <v>LFF3294</v>
          </cell>
          <cell r="L382" t="str">
            <v>HD</v>
          </cell>
          <cell r="M382" t="str">
            <v>x</v>
          </cell>
          <cell r="N382" t="e">
            <v>#N/A</v>
          </cell>
          <cell r="O382" t="str">
            <v>Spin-on Fuel Filter</v>
          </cell>
        </row>
        <row r="383">
          <cell r="K383" t="str">
            <v>LAF9501</v>
          </cell>
          <cell r="L383" t="str">
            <v>HD</v>
          </cell>
          <cell r="M383" t="str">
            <v>x</v>
          </cell>
          <cell r="N383" t="e">
            <v>#N/A</v>
          </cell>
          <cell r="O383" t="str">
            <v>HD Metal-End Air Filter</v>
          </cell>
        </row>
        <row r="384">
          <cell r="K384" t="str">
            <v>LAF1947</v>
          </cell>
          <cell r="L384" t="str">
            <v>HD</v>
          </cell>
          <cell r="M384" t="str">
            <v>x</v>
          </cell>
          <cell r="N384" t="e">
            <v>#N/A</v>
          </cell>
          <cell r="O384" t="str">
            <v>HD Metal-End Air Filter with Attached Lid</v>
          </cell>
        </row>
        <row r="385">
          <cell r="K385" t="str">
            <v>L8683F</v>
          </cell>
          <cell r="L385" t="str">
            <v>HD</v>
          </cell>
          <cell r="M385" t="str">
            <v>x</v>
          </cell>
          <cell r="N385" t="e">
            <v>#N/A</v>
          </cell>
          <cell r="O385" t="str">
            <v>Snap-Lock Fuel Filter</v>
          </cell>
        </row>
        <row r="386">
          <cell r="K386" t="str">
            <v>LFF4296</v>
          </cell>
          <cell r="L386" t="str">
            <v>HD</v>
          </cell>
          <cell r="M386" t="str">
            <v>x</v>
          </cell>
          <cell r="N386" t="e">
            <v>#N/A</v>
          </cell>
          <cell r="O386" t="str">
            <v>Spin-on Fuel Filter</v>
          </cell>
        </row>
        <row r="387">
          <cell r="K387" t="str">
            <v>LP560</v>
          </cell>
          <cell r="L387" t="str">
            <v>HD</v>
          </cell>
          <cell r="M387" t="str">
            <v>x</v>
          </cell>
          <cell r="N387" t="e">
            <v>#N/A</v>
          </cell>
          <cell r="O387" t="str">
            <v>Cartridge Oil Filter</v>
          </cell>
        </row>
        <row r="388">
          <cell r="K388" t="str">
            <v>LFF871</v>
          </cell>
          <cell r="L388" t="str">
            <v>HD</v>
          </cell>
          <cell r="M388" t="str">
            <v>x</v>
          </cell>
          <cell r="N388" t="e">
            <v>#N/A</v>
          </cell>
          <cell r="O388" t="str">
            <v>Cartridge Fuel Filter</v>
          </cell>
        </row>
        <row r="389">
          <cell r="K389" t="str">
            <v>LFF8307</v>
          </cell>
          <cell r="L389" t="str">
            <v>HD</v>
          </cell>
          <cell r="M389" t="str">
            <v>x</v>
          </cell>
          <cell r="N389" t="str">
            <v>LFF8307</v>
          </cell>
          <cell r="O389" t="str">
            <v>Spin-on Fuel Filter</v>
          </cell>
        </row>
        <row r="390">
          <cell r="K390" t="str">
            <v>L8569F</v>
          </cell>
          <cell r="L390" t="str">
            <v>HD</v>
          </cell>
          <cell r="M390" t="str">
            <v>x</v>
          </cell>
          <cell r="N390" t="e">
            <v>#N/A</v>
          </cell>
          <cell r="O390" t="str">
            <v>Snap-Lock Fuel Filter</v>
          </cell>
        </row>
        <row r="391">
          <cell r="K391" t="str">
            <v>LFP2265</v>
          </cell>
          <cell r="L391" t="str">
            <v>HD</v>
          </cell>
          <cell r="M391" t="str">
            <v>x</v>
          </cell>
          <cell r="N391" t="e">
            <v>#N/A</v>
          </cell>
          <cell r="O391" t="str">
            <v>Spin-on Oil Filter</v>
          </cell>
        </row>
        <row r="392">
          <cell r="K392" t="str">
            <v>LK341M</v>
          </cell>
          <cell r="L392" t="str">
            <v>HD</v>
          </cell>
          <cell r="M392" t="str">
            <v>x</v>
          </cell>
          <cell r="N392" t="e">
            <v>#N/A</v>
          </cell>
          <cell r="O392" t="str">
            <v>Mack Engine Maintenance Kit</v>
          </cell>
        </row>
        <row r="393">
          <cell r="K393" t="str">
            <v>LFF1282</v>
          </cell>
          <cell r="L393" t="str">
            <v>HD</v>
          </cell>
          <cell r="M393" t="str">
            <v>x</v>
          </cell>
          <cell r="N393" t="e">
            <v>#N/A</v>
          </cell>
          <cell r="O393" t="str">
            <v>Spin-on Fuel Water Separator Filter</v>
          </cell>
        </row>
        <row r="394">
          <cell r="K394" t="str">
            <v>LH5961</v>
          </cell>
          <cell r="L394" t="str">
            <v>HD</v>
          </cell>
          <cell r="M394" t="str">
            <v>x</v>
          </cell>
          <cell r="N394" t="e">
            <v>#N/A</v>
          </cell>
          <cell r="O394" t="str">
            <v>Cartridge Power Steering (Hydraulic) Filter</v>
          </cell>
        </row>
        <row r="395">
          <cell r="K395">
            <v>750</v>
          </cell>
          <cell r="L395" t="str">
            <v>HD</v>
          </cell>
          <cell r="N395" t="e">
            <v>#N/A</v>
          </cell>
          <cell r="O395" t="str">
            <v xml:space="preserve">Luber-finer 750 diesel filter pak, Imperial II (single element) detergent type lube oil. (4 pack case) </v>
          </cell>
        </row>
        <row r="396">
          <cell r="K396" t="str">
            <v>L7264F</v>
          </cell>
          <cell r="L396" t="str">
            <v>HD</v>
          </cell>
          <cell r="M396" t="str">
            <v>x</v>
          </cell>
          <cell r="N396" t="e">
            <v>#N/A</v>
          </cell>
          <cell r="O396" t="str">
            <v>Box Type Fuel Filter</v>
          </cell>
        </row>
        <row r="397">
          <cell r="K397" t="str">
            <v>LFF8678</v>
          </cell>
          <cell r="L397" t="str">
            <v>HD</v>
          </cell>
          <cell r="M397" t="str">
            <v>x</v>
          </cell>
          <cell r="N397" t="e">
            <v>#N/A</v>
          </cell>
          <cell r="O397" t="str">
            <v>Spin-on Fuel Filter</v>
          </cell>
        </row>
        <row r="398">
          <cell r="K398" t="str">
            <v>LFP3828</v>
          </cell>
          <cell r="L398" t="str">
            <v>HD</v>
          </cell>
          <cell r="M398" t="str">
            <v>x</v>
          </cell>
          <cell r="N398" t="e">
            <v>#N/A</v>
          </cell>
          <cell r="O398" t="str">
            <v>Spin-on Oil Filter</v>
          </cell>
        </row>
        <row r="399">
          <cell r="K399" t="str">
            <v>LFH4909</v>
          </cell>
          <cell r="L399" t="str">
            <v>HD</v>
          </cell>
          <cell r="M399" t="str">
            <v>x</v>
          </cell>
          <cell r="N399" t="str">
            <v>LFH4909</v>
          </cell>
          <cell r="O399" t="str">
            <v>Breather Filter</v>
          </cell>
        </row>
        <row r="400">
          <cell r="K400" t="str">
            <v>CAF24011</v>
          </cell>
          <cell r="L400" t="str">
            <v>HD</v>
          </cell>
          <cell r="M400" t="str">
            <v>x</v>
          </cell>
          <cell r="N400" t="e">
            <v>#N/A</v>
          </cell>
          <cell r="O400" t="str">
            <v>Cabin Air Filter</v>
          </cell>
        </row>
        <row r="401">
          <cell r="K401" t="str">
            <v>LFP3191G</v>
          </cell>
          <cell r="L401" t="str">
            <v>HD</v>
          </cell>
          <cell r="M401" t="str">
            <v>x</v>
          </cell>
          <cell r="N401" t="e">
            <v>#N/A</v>
          </cell>
          <cell r="O401" t="str">
            <v>Extended Life Spin-on Oil Filter</v>
          </cell>
        </row>
        <row r="402">
          <cell r="K402" t="str">
            <v>LK367C</v>
          </cell>
          <cell r="L402" t="str">
            <v>HD</v>
          </cell>
          <cell r="M402" t="str">
            <v>x</v>
          </cell>
          <cell r="N402" t="e">
            <v>#N/A</v>
          </cell>
          <cell r="O402" t="str">
            <v>Cummins Maintenance Kit</v>
          </cell>
        </row>
        <row r="403">
          <cell r="K403" t="str">
            <v>L8557F</v>
          </cell>
          <cell r="L403" t="str">
            <v>HD</v>
          </cell>
          <cell r="M403" t="str">
            <v>x</v>
          </cell>
          <cell r="N403" t="e">
            <v>#N/A</v>
          </cell>
          <cell r="O403" t="str">
            <v>Snap-Lock Fuel Filter</v>
          </cell>
        </row>
        <row r="404">
          <cell r="K404" t="str">
            <v>LAF8172</v>
          </cell>
          <cell r="L404" t="str">
            <v>HD</v>
          </cell>
          <cell r="M404" t="str">
            <v>x</v>
          </cell>
          <cell r="N404" t="e">
            <v>#N/A</v>
          </cell>
          <cell r="O404" t="str">
            <v>Radial Seal Air Filter (Primary)</v>
          </cell>
        </row>
        <row r="405">
          <cell r="K405" t="str">
            <v>L549F</v>
          </cell>
          <cell r="L405" t="str">
            <v>HD</v>
          </cell>
          <cell r="M405" t="str">
            <v>x</v>
          </cell>
          <cell r="N405" t="e">
            <v>#N/A</v>
          </cell>
          <cell r="O405" t="str">
            <v>Cartridge Fuel Filter</v>
          </cell>
        </row>
        <row r="406">
          <cell r="K406" t="str">
            <v>LFP781</v>
          </cell>
          <cell r="L406" t="str">
            <v>HD</v>
          </cell>
          <cell r="M406" t="str">
            <v>x</v>
          </cell>
          <cell r="N406" t="e">
            <v>#N/A</v>
          </cell>
          <cell r="O406" t="str">
            <v>Spin-on Oil Filter</v>
          </cell>
        </row>
        <row r="407">
          <cell r="K407" t="str">
            <v>LAF6684</v>
          </cell>
          <cell r="L407" t="str">
            <v>HD</v>
          </cell>
          <cell r="M407" t="str">
            <v>x</v>
          </cell>
          <cell r="N407" t="e">
            <v>#N/A</v>
          </cell>
          <cell r="O407" t="str">
            <v>Cone-Shaped, Conical Air Filter</v>
          </cell>
        </row>
        <row r="408">
          <cell r="K408" t="str">
            <v>LAF2745A</v>
          </cell>
          <cell r="L408" t="str">
            <v>HD</v>
          </cell>
          <cell r="M408" t="str">
            <v>x</v>
          </cell>
          <cell r="N408" t="e">
            <v>#N/A</v>
          </cell>
          <cell r="O408" t="str">
            <v>Finned Vane Air Filter</v>
          </cell>
        </row>
        <row r="409">
          <cell r="K409" t="str">
            <v>LFF8011</v>
          </cell>
          <cell r="L409" t="str">
            <v>HD</v>
          </cell>
          <cell r="M409" t="str">
            <v>x</v>
          </cell>
          <cell r="N409" t="e">
            <v>#N/A</v>
          </cell>
          <cell r="O409" t="str">
            <v>Spin-on Fuel Water Separator Filter</v>
          </cell>
        </row>
        <row r="410">
          <cell r="K410" t="str">
            <v>18868</v>
          </cell>
          <cell r="L410" t="str">
            <v>HD</v>
          </cell>
          <cell r="M410" t="str">
            <v>x</v>
          </cell>
          <cell r="N410" t="e">
            <v>#N/A</v>
          </cell>
          <cell r="O410" t="str">
            <v>Inlet Check-Valve Assembly Complete (Std.#8 Orifice)/500-C, CT, 750-C, CT</v>
          </cell>
        </row>
        <row r="411">
          <cell r="K411" t="str">
            <v>CAF24007</v>
          </cell>
          <cell r="L411" t="str">
            <v>HD</v>
          </cell>
          <cell r="M411" t="str">
            <v>x</v>
          </cell>
          <cell r="N411" t="e">
            <v>#N/A</v>
          </cell>
          <cell r="O411" t="str">
            <v>Cabin Air Filter</v>
          </cell>
        </row>
        <row r="412">
          <cell r="K412">
            <v>750</v>
          </cell>
          <cell r="L412" t="str">
            <v>HD</v>
          </cell>
          <cell r="M412" t="str">
            <v>x</v>
          </cell>
          <cell r="N412" t="e">
            <v>#N/A</v>
          </cell>
          <cell r="O412" t="str">
            <v>Refining Pak Filter, LF750-C used on straight mineral oil, hydraulic fluids, fuel oils, etc.</v>
          </cell>
        </row>
        <row r="413">
          <cell r="K413" t="str">
            <v>PH2875</v>
          </cell>
          <cell r="L413" t="str">
            <v>HD</v>
          </cell>
          <cell r="N413" t="e">
            <v>#N/A</v>
          </cell>
          <cell r="O413" t="str">
            <v>Spin-on Oil Filter</v>
          </cell>
        </row>
        <row r="414">
          <cell r="K414" t="str">
            <v>RG4082</v>
          </cell>
          <cell r="L414" t="str">
            <v>HD</v>
          </cell>
          <cell r="M414" t="str">
            <v>x</v>
          </cell>
          <cell r="N414" t="e">
            <v>#N/A</v>
          </cell>
          <cell r="O414" t="str">
            <v>Air Restriction Guage</v>
          </cell>
        </row>
        <row r="415">
          <cell r="K415" t="str">
            <v>LAF5871</v>
          </cell>
          <cell r="L415" t="str">
            <v>HD</v>
          </cell>
          <cell r="M415" t="str">
            <v>x</v>
          </cell>
          <cell r="N415" t="e">
            <v>#N/A</v>
          </cell>
          <cell r="O415" t="str">
            <v>Radial Seal Outer Air Filter</v>
          </cell>
        </row>
        <row r="416">
          <cell r="K416" t="str">
            <v>L4103F</v>
          </cell>
          <cell r="L416" t="str">
            <v>HD</v>
          </cell>
          <cell r="M416" t="str">
            <v>x</v>
          </cell>
          <cell r="N416" t="e">
            <v>#N/A</v>
          </cell>
          <cell r="O416" t="str">
            <v>Cartridge Fuel Filter</v>
          </cell>
        </row>
        <row r="417">
          <cell r="K417" t="str">
            <v>LAF9498</v>
          </cell>
          <cell r="L417" t="str">
            <v>HD</v>
          </cell>
          <cell r="M417" t="str">
            <v>x</v>
          </cell>
          <cell r="N417" t="e">
            <v>#N/A</v>
          </cell>
          <cell r="O417" t="str">
            <v>Corrugated Media Air Filter</v>
          </cell>
        </row>
        <row r="418">
          <cell r="K418" t="str">
            <v>LFH4922</v>
          </cell>
          <cell r="L418" t="str">
            <v>HD</v>
          </cell>
          <cell r="M418" t="str">
            <v>x</v>
          </cell>
          <cell r="N418" t="e">
            <v>#N/A</v>
          </cell>
          <cell r="O418" t="str">
            <v>Spin-on Hydraulic Filter</v>
          </cell>
        </row>
        <row r="419">
          <cell r="K419" t="str">
            <v>LAF4501</v>
          </cell>
          <cell r="L419" t="str">
            <v>HD</v>
          </cell>
          <cell r="M419" t="str">
            <v>x</v>
          </cell>
          <cell r="N419" t="e">
            <v>#N/A</v>
          </cell>
          <cell r="O419" t="str">
            <v>Radial Seal Outer Air Filter</v>
          </cell>
        </row>
        <row r="420">
          <cell r="K420" t="str">
            <v>LAF4509</v>
          </cell>
          <cell r="L420" t="str">
            <v>HD</v>
          </cell>
          <cell r="M420" t="str">
            <v>x</v>
          </cell>
          <cell r="N420" t="e">
            <v>#N/A</v>
          </cell>
          <cell r="O420" t="str">
            <v>Radial Seal Outer Air Filter</v>
          </cell>
        </row>
        <row r="421">
          <cell r="K421" t="str">
            <v>LAF6124</v>
          </cell>
          <cell r="L421" t="str">
            <v>HD</v>
          </cell>
          <cell r="M421" t="str">
            <v>x</v>
          </cell>
          <cell r="N421" t="e">
            <v>#N/A</v>
          </cell>
          <cell r="O421" t="str">
            <v>Radial Seal Outer Air Filter</v>
          </cell>
        </row>
        <row r="422">
          <cell r="K422" t="str">
            <v>L9729FXL</v>
          </cell>
          <cell r="L422" t="str">
            <v>HD</v>
          </cell>
          <cell r="M422" t="str">
            <v>x</v>
          </cell>
          <cell r="N422" t="e">
            <v>#N/A</v>
          </cell>
          <cell r="O422" t="str">
            <v>Extended Life Cartridge Fuel Water Separator Filter</v>
          </cell>
        </row>
        <row r="423">
          <cell r="K423" t="str">
            <v>LFH5011-10</v>
          </cell>
          <cell r="L423" t="str">
            <v>HD</v>
          </cell>
          <cell r="M423" t="str">
            <v>x</v>
          </cell>
          <cell r="N423" t="e">
            <v>#N/A</v>
          </cell>
          <cell r="O423" t="str">
            <v>Spin-on Hydraulic Filter</v>
          </cell>
        </row>
        <row r="424">
          <cell r="K424" t="str">
            <v>CAF7702</v>
          </cell>
          <cell r="L424" t="str">
            <v>HD</v>
          </cell>
          <cell r="M424" t="str">
            <v>x</v>
          </cell>
          <cell r="N424" t="e">
            <v>#N/A</v>
          </cell>
          <cell r="O424" t="str">
            <v>Cabin Air Filter (Carbon)</v>
          </cell>
        </row>
        <row r="425">
          <cell r="K425" t="str">
            <v>LP132</v>
          </cell>
          <cell r="L425" t="str">
            <v>HD</v>
          </cell>
          <cell r="M425" t="str">
            <v>x</v>
          </cell>
          <cell r="N425" t="e">
            <v>#N/A</v>
          </cell>
          <cell r="O425" t="str">
            <v>Cartridge Oil Filter</v>
          </cell>
        </row>
        <row r="426">
          <cell r="K426" t="str">
            <v>LFH8740G</v>
          </cell>
          <cell r="L426" t="str">
            <v>HD</v>
          </cell>
          <cell r="M426" t="str">
            <v>x</v>
          </cell>
          <cell r="N426" t="e">
            <v>#N/A</v>
          </cell>
          <cell r="O426" t="str">
            <v>Spin-on Hydraulic Filter</v>
          </cell>
        </row>
        <row r="427">
          <cell r="K427" t="str">
            <v>LFF9608</v>
          </cell>
          <cell r="L427" t="str">
            <v>HD</v>
          </cell>
          <cell r="M427" t="str">
            <v>x</v>
          </cell>
          <cell r="N427" t="e">
            <v>#N/A</v>
          </cell>
          <cell r="O427" t="str">
            <v>Spin-on Fuel Filter</v>
          </cell>
        </row>
        <row r="428">
          <cell r="K428" t="str">
            <v>LAF1956</v>
          </cell>
          <cell r="L428" t="str">
            <v>HD</v>
          </cell>
          <cell r="M428" t="str">
            <v>x</v>
          </cell>
          <cell r="N428" t="e">
            <v>#N/A</v>
          </cell>
          <cell r="O428" t="str">
            <v>Radial Seal Inner Air Filter</v>
          </cell>
        </row>
        <row r="429">
          <cell r="K429" t="str">
            <v>LFF8350</v>
          </cell>
          <cell r="L429" t="str">
            <v>HD</v>
          </cell>
          <cell r="M429" t="str">
            <v>x</v>
          </cell>
          <cell r="N429" t="e">
            <v>#N/A</v>
          </cell>
          <cell r="O429" t="str">
            <v>Spin-on Fuel Filter</v>
          </cell>
        </row>
        <row r="430">
          <cell r="K430" t="str">
            <v>LFP218F</v>
          </cell>
          <cell r="L430" t="str">
            <v>HD</v>
          </cell>
          <cell r="M430" t="str">
            <v>x</v>
          </cell>
          <cell r="N430" t="e">
            <v>#N/A</v>
          </cell>
          <cell r="O430" t="str">
            <v>Spin-on Fuel Filter</v>
          </cell>
        </row>
        <row r="431">
          <cell r="K431" t="str">
            <v>LP44</v>
          </cell>
          <cell r="L431" t="str">
            <v>HD</v>
          </cell>
          <cell r="M431" t="str">
            <v>x</v>
          </cell>
          <cell r="N431" t="e">
            <v>#N/A</v>
          </cell>
          <cell r="O431" t="str">
            <v>Cartridge Oil Filter</v>
          </cell>
        </row>
        <row r="432">
          <cell r="K432" t="str">
            <v>LAF5023</v>
          </cell>
          <cell r="L432" t="str">
            <v>HD</v>
          </cell>
          <cell r="M432" t="str">
            <v>x</v>
          </cell>
          <cell r="N432" t="e">
            <v>#N/A</v>
          </cell>
          <cell r="O432" t="str">
            <v>Oval Air Filter</v>
          </cell>
        </row>
        <row r="433">
          <cell r="K433" t="str">
            <v>LFW4685XL</v>
          </cell>
          <cell r="L433" t="str">
            <v>HD</v>
          </cell>
          <cell r="M433" t="str">
            <v>x</v>
          </cell>
          <cell r="N433" t="e">
            <v>#N/A</v>
          </cell>
          <cell r="O433" t="str">
            <v>Extended Life Spin-on Coolant Filter</v>
          </cell>
        </row>
        <row r="434">
          <cell r="K434" t="str">
            <v>LFH5013</v>
          </cell>
          <cell r="L434" t="str">
            <v>HD</v>
          </cell>
          <cell r="M434" t="str">
            <v>x</v>
          </cell>
          <cell r="N434" t="str">
            <v>LFH5013</v>
          </cell>
          <cell r="O434" t="str">
            <v>Spin-on Hydraulic Filter</v>
          </cell>
        </row>
        <row r="435">
          <cell r="K435" t="str">
            <v>L7693F</v>
          </cell>
          <cell r="L435" t="str">
            <v>HD</v>
          </cell>
          <cell r="M435" t="str">
            <v>x</v>
          </cell>
          <cell r="N435" t="e">
            <v>#N/A</v>
          </cell>
          <cell r="O435" t="str">
            <v>Cartridge Fuel Filter</v>
          </cell>
        </row>
        <row r="436">
          <cell r="K436" t="str">
            <v>L5092F</v>
          </cell>
          <cell r="L436" t="str">
            <v>HD</v>
          </cell>
          <cell r="M436" t="str">
            <v>x</v>
          </cell>
          <cell r="N436" t="e">
            <v>#N/A</v>
          </cell>
          <cell r="O436" t="str">
            <v>Cartridge Fuel Water Separator Filter</v>
          </cell>
        </row>
        <row r="437">
          <cell r="K437" t="str">
            <v>L3101F</v>
          </cell>
          <cell r="L437" t="str">
            <v>HD</v>
          </cell>
          <cell r="M437" t="str">
            <v>x</v>
          </cell>
          <cell r="N437" t="e">
            <v>#N/A</v>
          </cell>
          <cell r="O437" t="str">
            <v>Snap-lock Fuel/Water Separator Filter</v>
          </cell>
        </row>
        <row r="438">
          <cell r="K438" t="str">
            <v>LAF8730</v>
          </cell>
          <cell r="L438" t="str">
            <v>HD</v>
          </cell>
          <cell r="M438" t="str">
            <v>x</v>
          </cell>
          <cell r="N438" t="e">
            <v>#N/A</v>
          </cell>
          <cell r="O438" t="str">
            <v>Radial Seal Outer Air Filter</v>
          </cell>
        </row>
        <row r="439">
          <cell r="K439" t="str">
            <v>LAF9001</v>
          </cell>
          <cell r="L439" t="str">
            <v>HD</v>
          </cell>
          <cell r="M439" t="str">
            <v>x</v>
          </cell>
          <cell r="N439" t="e">
            <v>#N/A</v>
          </cell>
          <cell r="O439" t="str">
            <v>Finned Vane Air Filter</v>
          </cell>
        </row>
        <row r="440">
          <cell r="K440" t="str">
            <v>LFP947</v>
          </cell>
          <cell r="L440" t="str">
            <v>HD</v>
          </cell>
          <cell r="M440" t="str">
            <v>x</v>
          </cell>
          <cell r="N440" t="e">
            <v>#N/A</v>
          </cell>
          <cell r="O440" t="str">
            <v>Spin-on Oil Filter</v>
          </cell>
        </row>
        <row r="441">
          <cell r="K441" t="str">
            <v>WHG481FK</v>
          </cell>
          <cell r="L441" t="str">
            <v>HD</v>
          </cell>
          <cell r="M441" t="str">
            <v>x</v>
          </cell>
          <cell r="N441" t="e">
            <v>#N/A</v>
          </cell>
          <cell r="O441" t="str">
            <v>Fuel Filter Adaptor and filter</v>
          </cell>
        </row>
        <row r="442">
          <cell r="K442" t="str">
            <v>LFP2244</v>
          </cell>
          <cell r="L442" t="str">
            <v>HD</v>
          </cell>
          <cell r="M442" t="str">
            <v>x</v>
          </cell>
          <cell r="N442" t="e">
            <v>#N/A</v>
          </cell>
          <cell r="O442" t="str">
            <v>Spin-on Oil Filter</v>
          </cell>
        </row>
        <row r="443">
          <cell r="K443" t="str">
            <v>LCTS11</v>
          </cell>
          <cell r="L443" t="str">
            <v>HD</v>
          </cell>
          <cell r="M443" t="str">
            <v>x</v>
          </cell>
          <cell r="N443" t="e">
            <v>#N/A</v>
          </cell>
          <cell r="O443" t="str">
            <v>Coolant Analysis Test Kit</v>
          </cell>
        </row>
        <row r="444">
          <cell r="K444" t="str">
            <v>L550F</v>
          </cell>
          <cell r="L444" t="str">
            <v>HD</v>
          </cell>
          <cell r="M444" t="str">
            <v>x</v>
          </cell>
          <cell r="N444" t="e">
            <v>#N/A</v>
          </cell>
          <cell r="O444" t="str">
            <v>Cartridge Fuel Filter</v>
          </cell>
        </row>
        <row r="445">
          <cell r="K445" t="str">
            <v>LAF2533</v>
          </cell>
          <cell r="L445" t="str">
            <v>HD</v>
          </cell>
          <cell r="M445" t="str">
            <v>x</v>
          </cell>
          <cell r="N445" t="e">
            <v>#N/A</v>
          </cell>
          <cell r="O445" t="str">
            <v>Disposible Housing Air Filter</v>
          </cell>
        </row>
        <row r="446">
          <cell r="K446" t="str">
            <v>LFF3807</v>
          </cell>
          <cell r="L446" t="str">
            <v>HD</v>
          </cell>
          <cell r="M446" t="str">
            <v>x</v>
          </cell>
          <cell r="N446" t="e">
            <v>#N/A</v>
          </cell>
          <cell r="O446" t="str">
            <v>Spin-on Fuel Filter</v>
          </cell>
        </row>
        <row r="447">
          <cell r="K447" t="str">
            <v>L8874FK</v>
          </cell>
          <cell r="L447" t="str">
            <v>HD</v>
          </cell>
          <cell r="M447" t="str">
            <v>x</v>
          </cell>
          <cell r="N447" t="e">
            <v>#N/A</v>
          </cell>
          <cell r="O447" t="str">
            <v>Fuel Filter Kit Primary/Secondary</v>
          </cell>
        </row>
        <row r="448">
          <cell r="K448" t="str">
            <v>LFF9013</v>
          </cell>
          <cell r="L448" t="str">
            <v>HD</v>
          </cell>
          <cell r="M448" t="str">
            <v>x</v>
          </cell>
          <cell r="N448" t="e">
            <v>#N/A</v>
          </cell>
          <cell r="O448" t="str">
            <v>Bowl Style Fuel Water Separator Filter</v>
          </cell>
        </row>
        <row r="449">
          <cell r="K449" t="str">
            <v>L8681F</v>
          </cell>
          <cell r="L449" t="str">
            <v>HD</v>
          </cell>
          <cell r="M449" t="str">
            <v>x</v>
          </cell>
          <cell r="N449" t="str">
            <v>L8681F</v>
          </cell>
          <cell r="O449" t="str">
            <v>Snap-Lock Fuel Filter</v>
          </cell>
        </row>
        <row r="450">
          <cell r="K450" t="str">
            <v>LAF3714</v>
          </cell>
          <cell r="L450" t="str">
            <v>HD</v>
          </cell>
          <cell r="M450" t="str">
            <v>x</v>
          </cell>
          <cell r="N450" t="e">
            <v>#N/A</v>
          </cell>
          <cell r="O450" t="str">
            <v>HD Metal-End Air Filter</v>
          </cell>
        </row>
        <row r="451">
          <cell r="K451" t="str">
            <v>LP161</v>
          </cell>
          <cell r="L451" t="str">
            <v>HD</v>
          </cell>
          <cell r="M451" t="str">
            <v>x</v>
          </cell>
          <cell r="N451" t="e">
            <v>#N/A</v>
          </cell>
          <cell r="O451" t="str">
            <v>Cartridge Oil Filter</v>
          </cell>
        </row>
        <row r="452">
          <cell r="K452" t="str">
            <v>LAF190</v>
          </cell>
          <cell r="L452" t="str">
            <v>HD</v>
          </cell>
          <cell r="M452" t="str">
            <v>x</v>
          </cell>
          <cell r="N452" t="e">
            <v>#N/A</v>
          </cell>
          <cell r="O452" t="str">
            <v>Round Plastisol Air Filter</v>
          </cell>
        </row>
        <row r="453">
          <cell r="K453" t="str">
            <v>L5788F</v>
          </cell>
          <cell r="L453" t="str">
            <v>HD</v>
          </cell>
          <cell r="M453" t="str">
            <v>x</v>
          </cell>
          <cell r="N453" t="e">
            <v>#N/A</v>
          </cell>
          <cell r="O453" t="str">
            <v>Cartridge Fuel Filter</v>
          </cell>
        </row>
        <row r="454">
          <cell r="K454" t="str">
            <v>PH8862</v>
          </cell>
          <cell r="L454" t="str">
            <v>HD</v>
          </cell>
          <cell r="N454" t="e">
            <v>#N/A</v>
          </cell>
          <cell r="O454" t="str">
            <v>Spin-on Oil Filter</v>
          </cell>
        </row>
        <row r="455">
          <cell r="K455" t="str">
            <v>LAF8727</v>
          </cell>
          <cell r="L455" t="str">
            <v>HD</v>
          </cell>
          <cell r="M455" t="str">
            <v>x</v>
          </cell>
          <cell r="N455" t="e">
            <v>#N/A</v>
          </cell>
          <cell r="O455" t="str">
            <v>HD Metal-End Air Filter</v>
          </cell>
        </row>
        <row r="456">
          <cell r="K456" t="str">
            <v>L3531F</v>
          </cell>
          <cell r="L456" t="str">
            <v>HD</v>
          </cell>
          <cell r="M456" t="str">
            <v>x</v>
          </cell>
          <cell r="N456" t="e">
            <v>#N/A</v>
          </cell>
          <cell r="O456" t="str">
            <v>Cartridge Fuel Filter</v>
          </cell>
        </row>
        <row r="457">
          <cell r="K457" t="str">
            <v>ZINC</v>
          </cell>
          <cell r="L457" t="str">
            <v>HD</v>
          </cell>
          <cell r="M457" t="str">
            <v>x</v>
          </cell>
          <cell r="N457" t="e">
            <v>#N/A</v>
          </cell>
          <cell r="O457" t="str">
            <v>Vent Plug/272-C, 363-C, 500-C, 750-C, 3C, 2C</v>
          </cell>
        </row>
        <row r="458">
          <cell r="K458" t="str">
            <v>L9559F</v>
          </cell>
          <cell r="L458" t="str">
            <v>HD</v>
          </cell>
          <cell r="M458" t="str">
            <v>x</v>
          </cell>
          <cell r="N458" t="e">
            <v>#N/A</v>
          </cell>
          <cell r="O458" t="str">
            <v>Cartridge Fuel Filter</v>
          </cell>
        </row>
        <row r="459">
          <cell r="K459" t="str">
            <v>LFH4268</v>
          </cell>
          <cell r="L459" t="str">
            <v>HD</v>
          </cell>
          <cell r="M459" t="str">
            <v>x</v>
          </cell>
          <cell r="N459" t="str">
            <v>LFH4268</v>
          </cell>
          <cell r="O459" t="str">
            <v>Spin-on Hydraulic Filter</v>
          </cell>
        </row>
        <row r="460">
          <cell r="K460" t="str">
            <v>LAF5980FP</v>
          </cell>
          <cell r="L460" t="str">
            <v>HD</v>
          </cell>
          <cell r="M460" t="str">
            <v>x</v>
          </cell>
          <cell r="N460" t="e">
            <v>#N/A</v>
          </cell>
          <cell r="O460" t="str">
            <v>Flexible Panel Air Filter with Attached Foam Pad</v>
          </cell>
        </row>
        <row r="461">
          <cell r="K461" t="str">
            <v>LAF1810</v>
          </cell>
          <cell r="L461" t="str">
            <v>HD</v>
          </cell>
          <cell r="M461" t="str">
            <v>x</v>
          </cell>
          <cell r="N461" t="e">
            <v>#N/A</v>
          </cell>
          <cell r="O461" t="str">
            <v>HD Round Air Filter with Attached Boot</v>
          </cell>
        </row>
        <row r="462">
          <cell r="K462" t="str">
            <v>LFP9035</v>
          </cell>
          <cell r="L462" t="str">
            <v>HD</v>
          </cell>
          <cell r="M462" t="str">
            <v>x</v>
          </cell>
          <cell r="N462" t="str">
            <v>LFP9035</v>
          </cell>
          <cell r="O462" t="str">
            <v>Spin-on Oil Filter</v>
          </cell>
        </row>
        <row r="463">
          <cell r="K463" t="str">
            <v>L3258F</v>
          </cell>
          <cell r="L463" t="str">
            <v>HD</v>
          </cell>
          <cell r="M463" t="str">
            <v>x</v>
          </cell>
          <cell r="N463" t="e">
            <v>#N/A</v>
          </cell>
          <cell r="O463" t="str">
            <v>Cartridge Fuel Filter</v>
          </cell>
        </row>
        <row r="464">
          <cell r="K464" t="str">
            <v>PH4408</v>
          </cell>
          <cell r="L464" t="str">
            <v>HD</v>
          </cell>
          <cell r="N464" t="e">
            <v>#N/A</v>
          </cell>
          <cell r="O464" t="str">
            <v>Spin-on Oil Filter</v>
          </cell>
        </row>
        <row r="465">
          <cell r="K465" t="str">
            <v>LAF4510</v>
          </cell>
          <cell r="L465" t="str">
            <v>HD</v>
          </cell>
          <cell r="M465" t="str">
            <v>x</v>
          </cell>
          <cell r="N465" t="e">
            <v>#N/A</v>
          </cell>
          <cell r="O465" t="str">
            <v>Radial Seal Inner Air Filter</v>
          </cell>
        </row>
        <row r="466">
          <cell r="K466" t="str">
            <v>LFH5011-03</v>
          </cell>
          <cell r="L466" t="str">
            <v>HD</v>
          </cell>
          <cell r="M466" t="str">
            <v>x</v>
          </cell>
          <cell r="N466" t="e">
            <v>#N/A</v>
          </cell>
          <cell r="O466" t="str">
            <v>Spin-on Hydraulic Filter</v>
          </cell>
        </row>
        <row r="467">
          <cell r="K467" t="str">
            <v>LFH4987</v>
          </cell>
          <cell r="L467" t="str">
            <v>HD</v>
          </cell>
          <cell r="M467" t="str">
            <v>x</v>
          </cell>
          <cell r="N467" t="e">
            <v>#N/A</v>
          </cell>
          <cell r="O467" t="str">
            <v>Spin-on Hydraulic Filter</v>
          </cell>
        </row>
        <row r="468">
          <cell r="K468" t="str">
            <v>LAF1745</v>
          </cell>
          <cell r="L468" t="str">
            <v>HD</v>
          </cell>
          <cell r="M468" t="str">
            <v>x</v>
          </cell>
          <cell r="N468" t="e">
            <v>#N/A</v>
          </cell>
          <cell r="O468" t="str">
            <v>Cone Shaped Conical Air Filter</v>
          </cell>
        </row>
        <row r="469">
          <cell r="K469" t="str">
            <v>LAF2031</v>
          </cell>
          <cell r="L469" t="str">
            <v>HD</v>
          </cell>
          <cell r="M469" t="str">
            <v>x</v>
          </cell>
          <cell r="N469" t="e">
            <v>#N/A</v>
          </cell>
          <cell r="O469" t="str">
            <v>Radial Seal Outer Air Filter</v>
          </cell>
        </row>
        <row r="470">
          <cell r="K470" t="str">
            <v>LAF4545</v>
          </cell>
          <cell r="L470" t="str">
            <v>HD</v>
          </cell>
          <cell r="N470" t="e">
            <v>#N/A</v>
          </cell>
          <cell r="O470" t="str">
            <v>Radial Seal Inner Air Filter</v>
          </cell>
        </row>
        <row r="471">
          <cell r="K471" t="str">
            <v>LFH4988</v>
          </cell>
          <cell r="L471" t="str">
            <v>HD</v>
          </cell>
          <cell r="M471" t="str">
            <v>x</v>
          </cell>
          <cell r="N471" t="e">
            <v>#N/A</v>
          </cell>
          <cell r="O471" t="str">
            <v>Spin-on Hydraulic Filter</v>
          </cell>
        </row>
        <row r="472">
          <cell r="K472" t="str">
            <v>LAF6453</v>
          </cell>
          <cell r="L472" t="str">
            <v>HD</v>
          </cell>
          <cell r="M472" t="str">
            <v>x</v>
          </cell>
          <cell r="N472" t="e">
            <v>#N/A</v>
          </cell>
          <cell r="O472" t="str">
            <v>HD Round Air Filter with Attached Boot</v>
          </cell>
        </row>
        <row r="473">
          <cell r="K473" t="str">
            <v>LFF6816</v>
          </cell>
          <cell r="L473" t="str">
            <v>HD</v>
          </cell>
          <cell r="M473" t="str">
            <v>x</v>
          </cell>
          <cell r="N473" t="e">
            <v>#N/A</v>
          </cell>
          <cell r="O473" t="str">
            <v>Spin-on Fuel Filter</v>
          </cell>
        </row>
        <row r="474">
          <cell r="K474" t="str">
            <v>LFF9594</v>
          </cell>
          <cell r="L474" t="str">
            <v>HD</v>
          </cell>
          <cell r="M474" t="str">
            <v>x</v>
          </cell>
          <cell r="N474" t="e">
            <v>#N/A</v>
          </cell>
          <cell r="O474" t="str">
            <v>Spin-on Fuel Filter</v>
          </cell>
        </row>
        <row r="475">
          <cell r="K475" t="str">
            <v>LFF1021</v>
          </cell>
          <cell r="L475" t="str">
            <v>HD</v>
          </cell>
          <cell r="M475" t="str">
            <v>x</v>
          </cell>
          <cell r="N475" t="e">
            <v>#N/A</v>
          </cell>
          <cell r="O475" t="str">
            <v>Spin-on Fuel Filter</v>
          </cell>
        </row>
        <row r="476">
          <cell r="K476" t="str">
            <v>LAF1751</v>
          </cell>
          <cell r="L476" t="str">
            <v>HD</v>
          </cell>
          <cell r="M476" t="str">
            <v>x</v>
          </cell>
          <cell r="N476" t="e">
            <v>#N/A</v>
          </cell>
          <cell r="O476" t="str">
            <v>Disposible Housing Air Filter</v>
          </cell>
        </row>
        <row r="477">
          <cell r="K477" t="str">
            <v>LFH5068-10</v>
          </cell>
          <cell r="L477" t="str">
            <v>HD</v>
          </cell>
          <cell r="M477" t="str">
            <v>x</v>
          </cell>
          <cell r="N477" t="e">
            <v>#N/A</v>
          </cell>
          <cell r="O477" t="str">
            <v>Spin-on Hydraulic Filter</v>
          </cell>
        </row>
        <row r="478">
          <cell r="K478" t="str">
            <v>LFF9616</v>
          </cell>
          <cell r="L478" t="str">
            <v>HD</v>
          </cell>
          <cell r="M478" t="str">
            <v>x</v>
          </cell>
          <cell r="N478" t="e">
            <v>#N/A</v>
          </cell>
          <cell r="O478" t="str">
            <v>Spin-on Fuel Water Separator Filter</v>
          </cell>
        </row>
        <row r="479">
          <cell r="K479" t="str">
            <v>LAF2079</v>
          </cell>
          <cell r="L479" t="str">
            <v>HD</v>
          </cell>
          <cell r="M479" t="str">
            <v>x</v>
          </cell>
          <cell r="N479" t="e">
            <v>#N/A</v>
          </cell>
          <cell r="O479" t="str">
            <v>HD Metal-End Air Filter with Attached Lid</v>
          </cell>
        </row>
        <row r="480">
          <cell r="K480" t="str">
            <v>LAF3350</v>
          </cell>
          <cell r="L480" t="str">
            <v>HD</v>
          </cell>
          <cell r="M480" t="str">
            <v>x</v>
          </cell>
          <cell r="N480" t="e">
            <v>#N/A</v>
          </cell>
          <cell r="O480" t="str">
            <v>Round Air Filter</v>
          </cell>
        </row>
        <row r="481">
          <cell r="K481" t="str">
            <v>LAF4365</v>
          </cell>
          <cell r="L481" t="str">
            <v>HD</v>
          </cell>
          <cell r="M481" t="str">
            <v>x</v>
          </cell>
          <cell r="N481" t="e">
            <v>#N/A</v>
          </cell>
          <cell r="O481" t="str">
            <v>HD Metal-End Air Filter</v>
          </cell>
        </row>
        <row r="482">
          <cell r="K482" t="str">
            <v>LFP8845</v>
          </cell>
          <cell r="L482" t="str">
            <v>HD</v>
          </cell>
          <cell r="M482" t="str">
            <v>x</v>
          </cell>
          <cell r="N482" t="e">
            <v>#N/A</v>
          </cell>
          <cell r="O482" t="str">
            <v>Brake Dryer Water Coalescer Filter (Other)</v>
          </cell>
        </row>
        <row r="483">
          <cell r="K483" t="str">
            <v>LAF6300</v>
          </cell>
          <cell r="L483" t="str">
            <v>HD</v>
          </cell>
          <cell r="M483" t="str">
            <v>x</v>
          </cell>
          <cell r="N483" t="e">
            <v>#N/A</v>
          </cell>
          <cell r="O483" t="str">
            <v>Metal-End Air Filter with Closed Top End Cap</v>
          </cell>
        </row>
        <row r="484">
          <cell r="K484" t="str">
            <v>LP2029</v>
          </cell>
          <cell r="L484" t="str">
            <v>HD</v>
          </cell>
          <cell r="M484" t="str">
            <v>x</v>
          </cell>
          <cell r="N484" t="e">
            <v>#N/A</v>
          </cell>
          <cell r="O484" t="str">
            <v>Cartridge Oil Filter</v>
          </cell>
        </row>
        <row r="485">
          <cell r="K485" t="str">
            <v>LAF1793</v>
          </cell>
          <cell r="L485" t="str">
            <v>HD</v>
          </cell>
          <cell r="M485" t="str">
            <v>x</v>
          </cell>
          <cell r="N485" t="e">
            <v>#N/A</v>
          </cell>
          <cell r="O485" t="str">
            <v>HD Metal-End Air Filter-Inner</v>
          </cell>
        </row>
        <row r="486">
          <cell r="K486" t="str">
            <v>LAF7640</v>
          </cell>
          <cell r="L486" t="str">
            <v>HD</v>
          </cell>
          <cell r="M486" t="str">
            <v>x</v>
          </cell>
          <cell r="N486" t="e">
            <v>#N/A</v>
          </cell>
          <cell r="O486" t="str">
            <v>HD Metal-End Inner Air Filter</v>
          </cell>
        </row>
        <row r="487">
          <cell r="K487" t="str">
            <v>LP3964</v>
          </cell>
          <cell r="L487" t="str">
            <v>HD</v>
          </cell>
          <cell r="M487" t="str">
            <v>x</v>
          </cell>
          <cell r="N487" t="e">
            <v>#N/A</v>
          </cell>
          <cell r="O487" t="str">
            <v>Cartridge Oil Filter</v>
          </cell>
        </row>
        <row r="488">
          <cell r="K488" t="str">
            <v>PH3942</v>
          </cell>
          <cell r="L488" t="str">
            <v>HD</v>
          </cell>
          <cell r="N488" t="e">
            <v>#N/A</v>
          </cell>
          <cell r="O488" t="str">
            <v>Spin-on Oil Filter</v>
          </cell>
        </row>
        <row r="489">
          <cell r="K489" t="str">
            <v>LAF1918</v>
          </cell>
          <cell r="L489" t="str">
            <v>HD</v>
          </cell>
          <cell r="M489" t="str">
            <v>x</v>
          </cell>
          <cell r="N489" t="e">
            <v>#N/A</v>
          </cell>
          <cell r="O489" t="str">
            <v>Round Air Filter</v>
          </cell>
        </row>
        <row r="490">
          <cell r="K490" t="str">
            <v>L6806F</v>
          </cell>
          <cell r="L490" t="str">
            <v>HD</v>
          </cell>
          <cell r="N490" t="e">
            <v>#N/A</v>
          </cell>
          <cell r="O490" t="str">
            <v>Cartridge Fuel Filter</v>
          </cell>
        </row>
        <row r="491">
          <cell r="K491" t="str">
            <v>L4597F</v>
          </cell>
          <cell r="L491" t="str">
            <v>HD</v>
          </cell>
          <cell r="M491" t="str">
            <v>x</v>
          </cell>
          <cell r="N491" t="e">
            <v>#N/A</v>
          </cell>
          <cell r="O491" t="str">
            <v>Cartridge Fuel Water Separator Filter</v>
          </cell>
        </row>
        <row r="492">
          <cell r="K492" t="str">
            <v>LAF1782</v>
          </cell>
          <cell r="L492" t="str">
            <v>HD</v>
          </cell>
          <cell r="M492" t="str">
            <v>x</v>
          </cell>
          <cell r="N492" t="e">
            <v>#N/A</v>
          </cell>
          <cell r="O492" t="str">
            <v>Round Air Filter</v>
          </cell>
        </row>
        <row r="493">
          <cell r="K493" t="str">
            <v>LFF8472</v>
          </cell>
          <cell r="L493" t="str">
            <v>HD</v>
          </cell>
          <cell r="M493" t="str">
            <v>x</v>
          </cell>
          <cell r="N493" t="e">
            <v>#N/A</v>
          </cell>
          <cell r="O493" t="str">
            <v>Fuel/Water Separator Spin-on Filter</v>
          </cell>
        </row>
        <row r="494">
          <cell r="K494" t="str">
            <v>LFF8038</v>
          </cell>
          <cell r="L494" t="str">
            <v>HD</v>
          </cell>
          <cell r="M494" t="str">
            <v>x</v>
          </cell>
          <cell r="N494" t="e">
            <v>#N/A</v>
          </cell>
          <cell r="O494" t="str">
            <v>Spin-on Fuel Water Separator Filter</v>
          </cell>
        </row>
        <row r="495">
          <cell r="K495" t="str">
            <v>LFF6929</v>
          </cell>
          <cell r="L495" t="str">
            <v>HD</v>
          </cell>
          <cell r="M495" t="str">
            <v>x</v>
          </cell>
          <cell r="N495" t="str">
            <v>LFF6929</v>
          </cell>
          <cell r="O495" t="str">
            <v>Spin-on Fuel Filter</v>
          </cell>
        </row>
        <row r="496">
          <cell r="K496" t="str">
            <v>LFP8469</v>
          </cell>
          <cell r="L496" t="str">
            <v>HD</v>
          </cell>
          <cell r="M496" t="str">
            <v>x</v>
          </cell>
          <cell r="N496" t="e">
            <v>#N/A</v>
          </cell>
          <cell r="O496" t="str">
            <v>Spin-on Oil Filter</v>
          </cell>
        </row>
        <row r="497">
          <cell r="K497" t="str">
            <v>LAF1769</v>
          </cell>
          <cell r="L497" t="str">
            <v>HD</v>
          </cell>
          <cell r="M497" t="str">
            <v>x</v>
          </cell>
          <cell r="N497" t="e">
            <v>#N/A</v>
          </cell>
          <cell r="O497" t="str">
            <v>Cone Shaped Conical Air Filter</v>
          </cell>
        </row>
        <row r="498">
          <cell r="K498" t="str">
            <v>LFF5851U</v>
          </cell>
          <cell r="L498" t="str">
            <v>HD</v>
          </cell>
          <cell r="M498" t="str">
            <v>x</v>
          </cell>
          <cell r="N498" t="e">
            <v>#N/A</v>
          </cell>
          <cell r="O498" t="str">
            <v>Bowless Fuel Water Separator Filter</v>
          </cell>
        </row>
        <row r="499">
          <cell r="K499" t="str">
            <v>LAF6102</v>
          </cell>
          <cell r="L499" t="str">
            <v>HD</v>
          </cell>
          <cell r="M499" t="str">
            <v>x</v>
          </cell>
          <cell r="N499" t="e">
            <v>#N/A</v>
          </cell>
          <cell r="O499" t="str">
            <v>Flexible Panel Air Filter</v>
          </cell>
        </row>
        <row r="500">
          <cell r="K500" t="str">
            <v>LFF3518</v>
          </cell>
          <cell r="L500" t="str">
            <v>HD</v>
          </cell>
          <cell r="M500" t="str">
            <v>x</v>
          </cell>
          <cell r="N500" t="str">
            <v>LFF3518</v>
          </cell>
          <cell r="O500" t="str">
            <v>Spin-on Fuel Filter</v>
          </cell>
        </row>
        <row r="501">
          <cell r="K501" t="str">
            <v>LAF8996</v>
          </cell>
          <cell r="L501" t="str">
            <v>HD</v>
          </cell>
          <cell r="M501" t="str">
            <v>x</v>
          </cell>
          <cell r="N501" t="e">
            <v>#N/A</v>
          </cell>
          <cell r="O501" t="str">
            <v>Flexible Panel Air Filter</v>
          </cell>
        </row>
        <row r="502">
          <cell r="K502" t="str">
            <v>LAF3234</v>
          </cell>
          <cell r="L502" t="str">
            <v>HD</v>
          </cell>
          <cell r="M502" t="str">
            <v>x</v>
          </cell>
          <cell r="N502" t="e">
            <v>#N/A</v>
          </cell>
          <cell r="O502" t="str">
            <v>Special Configuration Air Filter</v>
          </cell>
        </row>
        <row r="503">
          <cell r="K503" t="str">
            <v>LFF5088</v>
          </cell>
          <cell r="L503" t="str">
            <v>HD</v>
          </cell>
          <cell r="M503" t="str">
            <v>x</v>
          </cell>
          <cell r="N503" t="str">
            <v>LFF5088</v>
          </cell>
          <cell r="O503" t="str">
            <v>Spin-on Fuel Filter</v>
          </cell>
        </row>
        <row r="504">
          <cell r="K504" t="str">
            <v>LAF4512</v>
          </cell>
          <cell r="L504" t="str">
            <v>HD</v>
          </cell>
          <cell r="M504" t="str">
            <v>x</v>
          </cell>
          <cell r="N504" t="e">
            <v>#N/A</v>
          </cell>
          <cell r="O504" t="str">
            <v>Flexible Panel Air Filter</v>
          </cell>
        </row>
        <row r="505">
          <cell r="K505" t="str">
            <v>LFP54</v>
          </cell>
          <cell r="L505" t="str">
            <v>HD</v>
          </cell>
          <cell r="M505" t="str">
            <v>x</v>
          </cell>
          <cell r="N505" t="e">
            <v>#N/A</v>
          </cell>
          <cell r="O505" t="str">
            <v>Spin-on Oil Filter</v>
          </cell>
        </row>
        <row r="506">
          <cell r="K506" t="str">
            <v>LAF6769</v>
          </cell>
          <cell r="L506" t="str">
            <v>HD</v>
          </cell>
          <cell r="M506" t="str">
            <v>x</v>
          </cell>
          <cell r="N506" t="e">
            <v>#N/A</v>
          </cell>
          <cell r="O506" t="str">
            <v>HD Metal-End Air Filter</v>
          </cell>
        </row>
        <row r="507">
          <cell r="K507" t="str">
            <v>LFF3534</v>
          </cell>
          <cell r="L507" t="str">
            <v>HD</v>
          </cell>
          <cell r="M507" t="str">
            <v>x</v>
          </cell>
          <cell r="N507" t="e">
            <v>#N/A</v>
          </cell>
          <cell r="O507" t="str">
            <v>Spin-on Fuel Filter</v>
          </cell>
        </row>
        <row r="508">
          <cell r="K508" t="str">
            <v>LFP6228</v>
          </cell>
          <cell r="L508" t="str">
            <v>HD</v>
          </cell>
          <cell r="M508" t="str">
            <v>x</v>
          </cell>
          <cell r="N508" t="str">
            <v>LFP6228</v>
          </cell>
          <cell r="O508" t="str">
            <v>Spin-on Oil Filter</v>
          </cell>
        </row>
        <row r="509">
          <cell r="K509" t="str">
            <v>LFF5824U</v>
          </cell>
          <cell r="L509" t="str">
            <v>HD</v>
          </cell>
          <cell r="M509" t="str">
            <v>x</v>
          </cell>
          <cell r="N509" t="e">
            <v>#N/A</v>
          </cell>
          <cell r="O509" t="str">
            <v>Bowless Fuel Water Separator Filter</v>
          </cell>
        </row>
        <row r="510">
          <cell r="K510" t="str">
            <v>LH9394</v>
          </cell>
          <cell r="L510" t="str">
            <v>HD</v>
          </cell>
          <cell r="M510" t="str">
            <v>x</v>
          </cell>
          <cell r="N510" t="e">
            <v>#N/A</v>
          </cell>
          <cell r="O510" t="str">
            <v>Cartridge Power Steering (Hydraulic) Filter</v>
          </cell>
        </row>
        <row r="511">
          <cell r="K511" t="str">
            <v>LFF5778</v>
          </cell>
          <cell r="L511" t="str">
            <v>HD</v>
          </cell>
          <cell r="M511" t="str">
            <v>x</v>
          </cell>
          <cell r="N511" t="e">
            <v>#N/A</v>
          </cell>
          <cell r="O511" t="str">
            <v>Spin-on Fuel Water Separator Filter</v>
          </cell>
        </row>
        <row r="512">
          <cell r="K512" t="str">
            <v>LAF1891</v>
          </cell>
          <cell r="L512" t="str">
            <v>HD</v>
          </cell>
          <cell r="M512" t="str">
            <v>x</v>
          </cell>
          <cell r="N512" t="e">
            <v>#N/A</v>
          </cell>
          <cell r="O512" t="str">
            <v>HD Metal-End Air Filter</v>
          </cell>
        </row>
        <row r="513">
          <cell r="K513" t="str">
            <v>LAF9410</v>
          </cell>
          <cell r="L513" t="str">
            <v>HD</v>
          </cell>
          <cell r="M513" t="str">
            <v>x</v>
          </cell>
          <cell r="N513" t="e">
            <v>#N/A</v>
          </cell>
          <cell r="O513" t="str">
            <v>HD Metal-End Air Filter-Inner</v>
          </cell>
        </row>
        <row r="514">
          <cell r="K514" t="str">
            <v>LAF334</v>
          </cell>
          <cell r="L514" t="str">
            <v>HD</v>
          </cell>
          <cell r="M514" t="str">
            <v>x</v>
          </cell>
          <cell r="N514" t="e">
            <v>#N/A</v>
          </cell>
          <cell r="O514" t="str">
            <v>HD Metal-End Air Filter</v>
          </cell>
        </row>
        <row r="515">
          <cell r="K515" t="str">
            <v>4069B</v>
          </cell>
          <cell r="L515" t="str">
            <v>HD</v>
          </cell>
          <cell r="M515" t="str">
            <v>x</v>
          </cell>
          <cell r="N515" t="e">
            <v>#N/A</v>
          </cell>
          <cell r="O515" t="str">
            <v>Gasket Used on Fleetguard By-Pass oil canisters</v>
          </cell>
        </row>
        <row r="516">
          <cell r="K516" t="str">
            <v>LAF1765</v>
          </cell>
          <cell r="L516" t="str">
            <v>HD</v>
          </cell>
          <cell r="M516" t="str">
            <v>x</v>
          </cell>
          <cell r="N516" t="e">
            <v>#N/A</v>
          </cell>
          <cell r="O516" t="str">
            <v>HD Metal-End Inner Air Filter</v>
          </cell>
        </row>
        <row r="517">
          <cell r="K517" t="str">
            <v>LAF9085</v>
          </cell>
          <cell r="L517" t="str">
            <v>HD</v>
          </cell>
          <cell r="M517" t="str">
            <v>x</v>
          </cell>
          <cell r="N517" t="e">
            <v>#N/A</v>
          </cell>
          <cell r="O517" t="str">
            <v>HD Metal-End Inner Air Filter</v>
          </cell>
        </row>
        <row r="518">
          <cell r="K518" t="str">
            <v>CAF24021</v>
          </cell>
          <cell r="L518" t="str">
            <v>HD</v>
          </cell>
          <cell r="M518" t="str">
            <v>x</v>
          </cell>
          <cell r="N518" t="e">
            <v>#N/A</v>
          </cell>
          <cell r="O518" t="str">
            <v>Cabin Air Filter</v>
          </cell>
        </row>
        <row r="519">
          <cell r="K519" t="str">
            <v>LFF8707U</v>
          </cell>
          <cell r="L519" t="str">
            <v>HD</v>
          </cell>
          <cell r="M519" t="str">
            <v>x</v>
          </cell>
          <cell r="N519" t="e">
            <v>#N/A</v>
          </cell>
          <cell r="O519" t="str">
            <v>Bowless Fuel Water Separator Filter</v>
          </cell>
        </row>
        <row r="520">
          <cell r="K520" t="str">
            <v>LFH4972</v>
          </cell>
          <cell r="L520" t="str">
            <v>HD</v>
          </cell>
          <cell r="M520" t="str">
            <v>x</v>
          </cell>
          <cell r="N520" t="e">
            <v>#N/A</v>
          </cell>
          <cell r="O520" t="str">
            <v>Spin-on Hydraulic Filter</v>
          </cell>
        </row>
        <row r="521">
          <cell r="K521" t="str">
            <v>LP163</v>
          </cell>
          <cell r="L521" t="str">
            <v>HD</v>
          </cell>
          <cell r="M521" t="str">
            <v>x</v>
          </cell>
          <cell r="N521" t="e">
            <v>#N/A</v>
          </cell>
          <cell r="O521" t="str">
            <v>Cartridge Oil Filter</v>
          </cell>
        </row>
        <row r="522">
          <cell r="K522">
            <v>2831</v>
          </cell>
          <cell r="L522" t="str">
            <v>HD</v>
          </cell>
          <cell r="M522" t="str">
            <v>x</v>
          </cell>
          <cell r="N522" t="e">
            <v>#N/A</v>
          </cell>
          <cell r="O522" t="str">
            <v>Cover Gasket, Buna-N/272-C, 363-C</v>
          </cell>
        </row>
        <row r="523">
          <cell r="K523" t="str">
            <v>LK363T</v>
          </cell>
          <cell r="L523" t="str">
            <v>HD</v>
          </cell>
          <cell r="M523" t="str">
            <v>x</v>
          </cell>
          <cell r="N523" t="e">
            <v>#N/A</v>
          </cell>
          <cell r="O523" t="str">
            <v>Thermo King Engine Maintenance Kit</v>
          </cell>
        </row>
        <row r="524">
          <cell r="K524" t="str">
            <v>LAF1821</v>
          </cell>
          <cell r="L524" t="str">
            <v>HD</v>
          </cell>
          <cell r="M524" t="str">
            <v>x</v>
          </cell>
          <cell r="N524" t="e">
            <v>#N/A</v>
          </cell>
          <cell r="O524" t="str">
            <v>Disposible Housing Air Filter</v>
          </cell>
        </row>
        <row r="525">
          <cell r="K525" t="str">
            <v>L8682F</v>
          </cell>
          <cell r="L525" t="str">
            <v>HD</v>
          </cell>
          <cell r="M525" t="str">
            <v>x</v>
          </cell>
          <cell r="N525" t="str">
            <v>L8682F</v>
          </cell>
          <cell r="O525" t="str">
            <v>Snap-Lock Fuel Filter</v>
          </cell>
        </row>
        <row r="526">
          <cell r="K526" t="str">
            <v>LFF3886</v>
          </cell>
          <cell r="L526" t="str">
            <v>HD</v>
          </cell>
          <cell r="M526" t="str">
            <v>x</v>
          </cell>
          <cell r="N526" t="str">
            <v>LFF3886</v>
          </cell>
          <cell r="O526" t="str">
            <v>Spin-on Fuel Filter</v>
          </cell>
        </row>
        <row r="527">
          <cell r="K527" t="str">
            <v>L5098F</v>
          </cell>
          <cell r="L527" t="str">
            <v>HD</v>
          </cell>
          <cell r="M527" t="str">
            <v>x</v>
          </cell>
          <cell r="N527" t="e">
            <v>#N/A</v>
          </cell>
          <cell r="O527" t="str">
            <v>Cartridge Fuel Filter</v>
          </cell>
        </row>
        <row r="528">
          <cell r="K528" t="str">
            <v>LAF2032</v>
          </cell>
          <cell r="L528" t="str">
            <v>HD</v>
          </cell>
          <cell r="M528" t="str">
            <v>x</v>
          </cell>
          <cell r="N528" t="e">
            <v>#N/A</v>
          </cell>
          <cell r="O528" t="str">
            <v>Radial Seal Outer Air Filter</v>
          </cell>
        </row>
        <row r="529">
          <cell r="K529" t="str">
            <v>LFP2698</v>
          </cell>
          <cell r="L529" t="str">
            <v>HD</v>
          </cell>
          <cell r="M529" t="str">
            <v>x</v>
          </cell>
          <cell r="N529" t="e">
            <v>#N/A</v>
          </cell>
          <cell r="O529" t="str">
            <v>Spin-on Oil Filter</v>
          </cell>
        </row>
        <row r="530">
          <cell r="K530" t="str">
            <v>LAF3781</v>
          </cell>
          <cell r="L530" t="str">
            <v>HD</v>
          </cell>
          <cell r="M530" t="str">
            <v>x</v>
          </cell>
          <cell r="N530" t="e">
            <v>#N/A</v>
          </cell>
          <cell r="O530" t="str">
            <v>Radial Seal Inner Air Filter</v>
          </cell>
        </row>
        <row r="531">
          <cell r="K531" t="str">
            <v>LFP2200C</v>
          </cell>
          <cell r="L531" t="str">
            <v>HD</v>
          </cell>
          <cell r="M531" t="str">
            <v>x</v>
          </cell>
          <cell r="N531" t="e">
            <v>#N/A</v>
          </cell>
          <cell r="O531" t="str">
            <v>Spin-on Fuel Water Separator Coalescer Filter</v>
          </cell>
        </row>
        <row r="532">
          <cell r="K532" t="str">
            <v>LAF1826</v>
          </cell>
          <cell r="L532" t="str">
            <v>HD</v>
          </cell>
          <cell r="M532" t="str">
            <v>x</v>
          </cell>
          <cell r="N532" t="e">
            <v>#N/A</v>
          </cell>
          <cell r="O532" t="str">
            <v>HD Metal-End Air Filter</v>
          </cell>
        </row>
        <row r="533">
          <cell r="K533" t="str">
            <v>LAF73</v>
          </cell>
          <cell r="L533" t="str">
            <v>HD</v>
          </cell>
          <cell r="M533" t="str">
            <v>x</v>
          </cell>
          <cell r="N533" t="e">
            <v>#N/A</v>
          </cell>
          <cell r="O533" t="str">
            <v>Round Air Filter</v>
          </cell>
        </row>
        <row r="534">
          <cell r="K534" t="str">
            <v>LAF8694</v>
          </cell>
          <cell r="L534" t="str">
            <v>HD</v>
          </cell>
          <cell r="M534" t="str">
            <v>x</v>
          </cell>
          <cell r="N534" t="e">
            <v>#N/A</v>
          </cell>
          <cell r="O534" t="str">
            <v>Radial Seal Outer Air Filter</v>
          </cell>
        </row>
        <row r="535">
          <cell r="K535" t="str">
            <v>FP888</v>
          </cell>
          <cell r="L535" t="str">
            <v>HD</v>
          </cell>
          <cell r="M535" t="str">
            <v>x</v>
          </cell>
          <cell r="N535" t="str">
            <v>FP888</v>
          </cell>
          <cell r="O535" t="str">
            <v>Box Type Fuel Filter</v>
          </cell>
        </row>
        <row r="536">
          <cell r="K536" t="str">
            <v>364F</v>
          </cell>
          <cell r="L536" t="str">
            <v>HD</v>
          </cell>
          <cell r="M536" t="str">
            <v>x</v>
          </cell>
          <cell r="N536" t="e">
            <v>#N/A</v>
          </cell>
          <cell r="O536" t="str">
            <v>Cartridge Fuel Filter</v>
          </cell>
        </row>
        <row r="537">
          <cell r="K537" t="str">
            <v>LP6005</v>
          </cell>
          <cell r="L537" t="str">
            <v>HD</v>
          </cell>
          <cell r="M537" t="str">
            <v>x</v>
          </cell>
          <cell r="N537" t="e">
            <v>#N/A</v>
          </cell>
          <cell r="O537" t="str">
            <v>Spin-on Hydraulic Filter</v>
          </cell>
        </row>
        <row r="538">
          <cell r="K538" t="str">
            <v>LAF4506</v>
          </cell>
          <cell r="L538" t="str">
            <v>HD</v>
          </cell>
          <cell r="M538" t="str">
            <v>x</v>
          </cell>
          <cell r="N538" t="e">
            <v>#N/A</v>
          </cell>
          <cell r="O538" t="str">
            <v>Radial Seal Inner Air Filter</v>
          </cell>
        </row>
        <row r="539">
          <cell r="K539" t="str">
            <v>LK366C</v>
          </cell>
          <cell r="L539" t="str">
            <v>HD</v>
          </cell>
          <cell r="M539" t="str">
            <v>x</v>
          </cell>
          <cell r="N539" t="e">
            <v>#N/A</v>
          </cell>
          <cell r="O539" t="str">
            <v>Cummins Maintenance Kit</v>
          </cell>
        </row>
        <row r="540">
          <cell r="K540" t="str">
            <v>LFP959F</v>
          </cell>
          <cell r="L540" t="str">
            <v>HD</v>
          </cell>
          <cell r="M540" t="str">
            <v>x</v>
          </cell>
          <cell r="N540" t="e">
            <v>#N/A</v>
          </cell>
          <cell r="O540" t="str">
            <v>Spin-on Fuel Filter</v>
          </cell>
        </row>
        <row r="541">
          <cell r="K541" t="str">
            <v>LAF1988</v>
          </cell>
          <cell r="L541" t="str">
            <v>HD</v>
          </cell>
          <cell r="M541" t="str">
            <v>x</v>
          </cell>
          <cell r="N541" t="str">
            <v>LAF1988</v>
          </cell>
          <cell r="O541" t="str">
            <v>Spin-on Air Filter</v>
          </cell>
        </row>
        <row r="542">
          <cell r="K542" t="str">
            <v>LFF4511-30</v>
          </cell>
          <cell r="L542" t="str">
            <v>HD</v>
          </cell>
          <cell r="M542" t="str">
            <v>x</v>
          </cell>
          <cell r="N542" t="e">
            <v>#N/A</v>
          </cell>
          <cell r="O542" t="str">
            <v>Fuel Dispensing Filter</v>
          </cell>
        </row>
        <row r="543">
          <cell r="K543" t="str">
            <v>LAF4191</v>
          </cell>
          <cell r="L543" t="str">
            <v>HD</v>
          </cell>
          <cell r="M543" t="str">
            <v>x</v>
          </cell>
          <cell r="N543" t="e">
            <v>#N/A</v>
          </cell>
          <cell r="O543" t="str">
            <v>Rigid Panel Air Filter</v>
          </cell>
        </row>
        <row r="544">
          <cell r="K544" t="str">
            <v>LAF6243</v>
          </cell>
          <cell r="L544" t="str">
            <v>HD</v>
          </cell>
          <cell r="M544" t="str">
            <v>x</v>
          </cell>
          <cell r="N544" t="e">
            <v>#N/A</v>
          </cell>
          <cell r="O544" t="str">
            <v>Radial Seal Air Filter (Primary)</v>
          </cell>
        </row>
        <row r="545">
          <cell r="K545" t="str">
            <v>LAF2551</v>
          </cell>
          <cell r="L545" t="str">
            <v>HD</v>
          </cell>
          <cell r="M545" t="str">
            <v>x</v>
          </cell>
          <cell r="N545" t="e">
            <v>#N/A</v>
          </cell>
          <cell r="O545" t="str">
            <v>Disposible Housing Air Filter</v>
          </cell>
        </row>
        <row r="546">
          <cell r="K546" t="str">
            <v>FP585F</v>
          </cell>
          <cell r="L546" t="str">
            <v>HD</v>
          </cell>
          <cell r="M546" t="str">
            <v>x</v>
          </cell>
          <cell r="N546" t="e">
            <v>#N/A</v>
          </cell>
          <cell r="O546" t="str">
            <v>Spin-on Fuel Filter</v>
          </cell>
        </row>
        <row r="547">
          <cell r="K547" t="str">
            <v>LFP5084</v>
          </cell>
          <cell r="L547" t="str">
            <v>HD</v>
          </cell>
          <cell r="M547" t="str">
            <v>x</v>
          </cell>
          <cell r="N547" t="e">
            <v>#N/A</v>
          </cell>
          <cell r="O547" t="str">
            <v>Spin-on Oil Filter</v>
          </cell>
        </row>
        <row r="548">
          <cell r="K548" t="str">
            <v>LFF9954</v>
          </cell>
          <cell r="L548" t="str">
            <v>HD</v>
          </cell>
          <cell r="M548" t="str">
            <v>x</v>
          </cell>
          <cell r="N548" t="e">
            <v>#N/A</v>
          </cell>
          <cell r="O548" t="str">
            <v>Spin-on Fuel Filter</v>
          </cell>
        </row>
        <row r="549">
          <cell r="K549" t="str">
            <v>LAF1849MXM</v>
          </cell>
          <cell r="L549" t="str">
            <v>HD</v>
          </cell>
          <cell r="M549" t="str">
            <v>x</v>
          </cell>
          <cell r="N549" t="e">
            <v>#N/A</v>
          </cell>
          <cell r="O549" t="str">
            <v>Nano Tech HD Metal-End Air Filter Outer</v>
          </cell>
        </row>
        <row r="550">
          <cell r="K550" t="str">
            <v>LAF4714</v>
          </cell>
          <cell r="L550" t="str">
            <v>HD</v>
          </cell>
          <cell r="M550" t="str">
            <v>x</v>
          </cell>
          <cell r="N550" t="e">
            <v>#N/A</v>
          </cell>
          <cell r="O550" t="str">
            <v>Rigid Panel Air Filter</v>
          </cell>
        </row>
        <row r="551">
          <cell r="K551" t="str">
            <v>LFH8490</v>
          </cell>
          <cell r="L551" t="str">
            <v>HD</v>
          </cell>
          <cell r="M551" t="str">
            <v>x</v>
          </cell>
          <cell r="N551" t="e">
            <v>#N/A</v>
          </cell>
          <cell r="O551" t="str">
            <v>Spin-on Hydraulic Filter</v>
          </cell>
        </row>
        <row r="552">
          <cell r="K552" t="str">
            <v>750</v>
          </cell>
          <cell r="L552" t="str">
            <v>HD</v>
          </cell>
          <cell r="M552" t="str">
            <v>x</v>
          </cell>
          <cell r="N552" t="e">
            <v>#N/A</v>
          </cell>
          <cell r="O552" t="str">
            <v>LF750 microcell pak-reduce fluid content to extremely low level</v>
          </cell>
        </row>
        <row r="553">
          <cell r="K553" t="str">
            <v>LAF1465</v>
          </cell>
          <cell r="L553" t="str">
            <v>HD</v>
          </cell>
          <cell r="M553" t="str">
            <v>x</v>
          </cell>
          <cell r="N553" t="e">
            <v>#N/A</v>
          </cell>
          <cell r="O553" t="str">
            <v>HD Metal-End Air Filter</v>
          </cell>
        </row>
        <row r="554">
          <cell r="K554" t="str">
            <v>LAF9096</v>
          </cell>
          <cell r="L554" t="str">
            <v>HD</v>
          </cell>
          <cell r="M554" t="str">
            <v>x</v>
          </cell>
          <cell r="N554" t="e">
            <v>#N/A</v>
          </cell>
          <cell r="O554" t="str">
            <v>Flexible Panel Air Filter</v>
          </cell>
        </row>
        <row r="555">
          <cell r="K555" t="str">
            <v>L540F</v>
          </cell>
          <cell r="L555" t="str">
            <v>HD</v>
          </cell>
          <cell r="M555" t="str">
            <v>x</v>
          </cell>
          <cell r="N555" t="e">
            <v>#N/A</v>
          </cell>
          <cell r="O555" t="str">
            <v>Cartridge Fuel Filter</v>
          </cell>
        </row>
        <row r="556">
          <cell r="K556" t="str">
            <v>LAF5810</v>
          </cell>
          <cell r="L556" t="str">
            <v>HD</v>
          </cell>
          <cell r="M556" t="str">
            <v>x</v>
          </cell>
          <cell r="N556" t="e">
            <v>#N/A</v>
          </cell>
          <cell r="O556" t="str">
            <v>Disposible Housing Air Filter</v>
          </cell>
        </row>
        <row r="557">
          <cell r="K557" t="str">
            <v>LFF3504</v>
          </cell>
          <cell r="L557" t="str">
            <v>HD</v>
          </cell>
          <cell r="M557" t="str">
            <v>x</v>
          </cell>
          <cell r="N557" t="e">
            <v>#N/A</v>
          </cell>
          <cell r="O557" t="str">
            <v>Spin-on Fuel Filter</v>
          </cell>
        </row>
        <row r="558">
          <cell r="K558" t="str">
            <v>LFF7415</v>
          </cell>
          <cell r="L558" t="str">
            <v>HD</v>
          </cell>
          <cell r="M558" t="str">
            <v>x</v>
          </cell>
          <cell r="N558" t="str">
            <v>LFF7415</v>
          </cell>
          <cell r="O558" t="str">
            <v>Spin-on Fuel Water Separator Filter</v>
          </cell>
        </row>
        <row r="559">
          <cell r="K559" t="str">
            <v>LFH5011-25</v>
          </cell>
          <cell r="L559" t="str">
            <v>HD</v>
          </cell>
          <cell r="M559" t="str">
            <v>x</v>
          </cell>
          <cell r="N559" t="e">
            <v>#N/A</v>
          </cell>
          <cell r="O559" t="str">
            <v>Spin-on Hydraulic Filter</v>
          </cell>
        </row>
        <row r="560">
          <cell r="K560" t="str">
            <v>LAF8143</v>
          </cell>
          <cell r="L560" t="str">
            <v>HD</v>
          </cell>
          <cell r="M560" t="str">
            <v>x</v>
          </cell>
          <cell r="N560" t="e">
            <v>#N/A</v>
          </cell>
          <cell r="O560" t="str">
            <v>Radial Seal Outer Air Filter</v>
          </cell>
        </row>
        <row r="561">
          <cell r="K561" t="str">
            <v>LAF1848</v>
          </cell>
          <cell r="L561" t="str">
            <v>HD</v>
          </cell>
          <cell r="M561" t="str">
            <v>x</v>
          </cell>
          <cell r="N561" t="e">
            <v>#N/A</v>
          </cell>
          <cell r="O561" t="str">
            <v>Disposible Housing Air Filter</v>
          </cell>
        </row>
        <row r="562">
          <cell r="K562" t="str">
            <v>LAF959</v>
          </cell>
          <cell r="L562" t="str">
            <v>HD</v>
          </cell>
          <cell r="M562" t="str">
            <v>x</v>
          </cell>
          <cell r="N562" t="e">
            <v>#N/A</v>
          </cell>
          <cell r="O562" t="str">
            <v>Cone Shaped Conical Air Filter</v>
          </cell>
        </row>
        <row r="563">
          <cell r="K563" t="str">
            <v>L3580F</v>
          </cell>
          <cell r="L563" t="str">
            <v>HD</v>
          </cell>
          <cell r="M563" t="str">
            <v>x</v>
          </cell>
          <cell r="N563" t="e">
            <v>#N/A</v>
          </cell>
          <cell r="O563" t="str">
            <v>Cartridge Fuel Water Separator Filter</v>
          </cell>
        </row>
        <row r="564">
          <cell r="K564" t="str">
            <v>LFH4926</v>
          </cell>
          <cell r="L564" t="str">
            <v>HD</v>
          </cell>
          <cell r="M564" t="str">
            <v>x</v>
          </cell>
          <cell r="N564" t="e">
            <v>#N/A</v>
          </cell>
          <cell r="O564" t="str">
            <v>Spin-on Hydraulic Filter</v>
          </cell>
        </row>
        <row r="565">
          <cell r="K565" t="str">
            <v>LAF22056</v>
          </cell>
          <cell r="L565" t="str">
            <v>HD</v>
          </cell>
          <cell r="M565" t="str">
            <v>x</v>
          </cell>
          <cell r="N565" t="e">
            <v>#N/A</v>
          </cell>
          <cell r="O565" t="str">
            <v>Radial Seal Inner Air Filter Inner</v>
          </cell>
        </row>
        <row r="566">
          <cell r="K566" t="str">
            <v>LAF2521</v>
          </cell>
          <cell r="L566" t="str">
            <v>HD</v>
          </cell>
          <cell r="M566" t="str">
            <v>x</v>
          </cell>
          <cell r="N566" t="e">
            <v>#N/A</v>
          </cell>
          <cell r="O566" t="str">
            <v>Disposible Housing Air Filter</v>
          </cell>
        </row>
        <row r="567">
          <cell r="K567" t="str">
            <v>FP625</v>
          </cell>
          <cell r="L567" t="str">
            <v>HD</v>
          </cell>
          <cell r="M567" t="str">
            <v>x</v>
          </cell>
          <cell r="N567" t="e">
            <v>#N/A</v>
          </cell>
          <cell r="O567" t="str">
            <v>Spin-on Fuel Filter</v>
          </cell>
        </row>
        <row r="568">
          <cell r="K568" t="str">
            <v>LAF6113</v>
          </cell>
          <cell r="L568" t="str">
            <v>HD</v>
          </cell>
          <cell r="M568" t="str">
            <v>x</v>
          </cell>
          <cell r="N568" t="e">
            <v>#N/A</v>
          </cell>
          <cell r="O568" t="str">
            <v>Spin-on Coalescer Air Filter</v>
          </cell>
        </row>
        <row r="569">
          <cell r="K569" t="str">
            <v>LFF5106</v>
          </cell>
          <cell r="L569" t="str">
            <v>HD</v>
          </cell>
          <cell r="M569" t="str">
            <v>x</v>
          </cell>
          <cell r="N569" t="e">
            <v>#N/A</v>
          </cell>
          <cell r="O569" t="str">
            <v>Spin-on Fuel Water Separator Filter</v>
          </cell>
        </row>
        <row r="570">
          <cell r="K570" t="str">
            <v>L8141F</v>
          </cell>
          <cell r="L570" t="str">
            <v>HD</v>
          </cell>
          <cell r="M570" t="str">
            <v>x</v>
          </cell>
          <cell r="N570" t="e">
            <v>#N/A</v>
          </cell>
          <cell r="O570" t="str">
            <v>Cartridge Fuel Filter</v>
          </cell>
        </row>
        <row r="571">
          <cell r="K571" t="str">
            <v>LFP923</v>
          </cell>
          <cell r="L571" t="str">
            <v>HD</v>
          </cell>
          <cell r="M571" t="str">
            <v>x</v>
          </cell>
          <cell r="N571" t="e">
            <v>#N/A</v>
          </cell>
          <cell r="O571" t="str">
            <v>Spin-on Oil Filter</v>
          </cell>
        </row>
        <row r="572">
          <cell r="K572" t="str">
            <v>LAF5314</v>
          </cell>
          <cell r="L572" t="str">
            <v>HD</v>
          </cell>
          <cell r="M572" t="str">
            <v>x</v>
          </cell>
          <cell r="N572" t="str">
            <v>LAF5314</v>
          </cell>
          <cell r="O572" t="str">
            <v>Flexible Panel Air Filter</v>
          </cell>
        </row>
        <row r="573">
          <cell r="K573" t="str">
            <v>LP151</v>
          </cell>
          <cell r="L573" t="str">
            <v>HD</v>
          </cell>
          <cell r="M573" t="str">
            <v>x</v>
          </cell>
          <cell r="N573" t="e">
            <v>#N/A</v>
          </cell>
          <cell r="O573" t="str">
            <v>Cartridge Oil Filter</v>
          </cell>
        </row>
        <row r="574">
          <cell r="K574" t="str">
            <v>LAF8789</v>
          </cell>
          <cell r="L574" t="str">
            <v>HD</v>
          </cell>
          <cell r="M574" t="str">
            <v>x</v>
          </cell>
          <cell r="N574" t="e">
            <v>#N/A</v>
          </cell>
          <cell r="O574" t="str">
            <v>Radial Seal Outer Air Filter</v>
          </cell>
        </row>
        <row r="575">
          <cell r="K575" t="str">
            <v>L5021F</v>
          </cell>
          <cell r="L575" t="str">
            <v>HD</v>
          </cell>
          <cell r="M575" t="str">
            <v>x</v>
          </cell>
          <cell r="N575" t="e">
            <v>#N/A</v>
          </cell>
          <cell r="O575" t="str">
            <v>Cartridge Fuel Water Separator Coalescer filter</v>
          </cell>
        </row>
        <row r="576">
          <cell r="K576" t="str">
            <v>LFF5406</v>
          </cell>
          <cell r="L576" t="str">
            <v>HD</v>
          </cell>
          <cell r="M576" t="str">
            <v>x</v>
          </cell>
          <cell r="N576" t="e">
            <v>#N/A</v>
          </cell>
          <cell r="O576" t="str">
            <v>Spin-on Fuel Filter</v>
          </cell>
        </row>
        <row r="577">
          <cell r="K577" t="str">
            <v>L3556F</v>
          </cell>
          <cell r="L577" t="str">
            <v>HD</v>
          </cell>
          <cell r="M577" t="str">
            <v>x</v>
          </cell>
          <cell r="N577" t="e">
            <v>#N/A</v>
          </cell>
          <cell r="O577" t="str">
            <v>Cartridge Fuel Filter</v>
          </cell>
        </row>
        <row r="578">
          <cell r="K578" t="str">
            <v>LAF1869</v>
          </cell>
          <cell r="L578" t="str">
            <v>HD</v>
          </cell>
          <cell r="M578" t="str">
            <v>x</v>
          </cell>
          <cell r="N578" t="e">
            <v>#N/A</v>
          </cell>
          <cell r="O578" t="str">
            <v>Panel Air Filter Irregular Shaped</v>
          </cell>
        </row>
        <row r="579">
          <cell r="K579" t="str">
            <v>LFF3293</v>
          </cell>
          <cell r="L579" t="str">
            <v>HD</v>
          </cell>
          <cell r="M579" t="str">
            <v>x</v>
          </cell>
          <cell r="N579" t="e">
            <v>#N/A</v>
          </cell>
          <cell r="O579" t="str">
            <v>Bowl Style Fuel Water Separator Filter</v>
          </cell>
        </row>
        <row r="580">
          <cell r="K580" t="str">
            <v>LFP7181</v>
          </cell>
          <cell r="L580" t="str">
            <v>HD</v>
          </cell>
          <cell r="M580" t="str">
            <v>x</v>
          </cell>
          <cell r="N580" t="str">
            <v>LFP7181</v>
          </cell>
          <cell r="O580" t="str">
            <v>Spin-on Oil Filter</v>
          </cell>
        </row>
        <row r="581">
          <cell r="K581" t="str">
            <v>LFH22027</v>
          </cell>
          <cell r="L581" t="str">
            <v>HD</v>
          </cell>
          <cell r="M581" t="str">
            <v>x</v>
          </cell>
          <cell r="N581" t="e">
            <v>#N/A</v>
          </cell>
          <cell r="O581" t="str">
            <v>Spin-on Hydraulic Filter</v>
          </cell>
        </row>
        <row r="582">
          <cell r="K582" t="str">
            <v>LAF4273</v>
          </cell>
          <cell r="L582" t="str">
            <v>HD</v>
          </cell>
          <cell r="M582" t="str">
            <v>x</v>
          </cell>
          <cell r="N582" t="e">
            <v>#N/A</v>
          </cell>
          <cell r="O582" t="str">
            <v>Radial Seal Outer Air Filter</v>
          </cell>
        </row>
        <row r="583">
          <cell r="K583" t="str">
            <v>LFH22003</v>
          </cell>
          <cell r="L583" t="str">
            <v>HD</v>
          </cell>
          <cell r="M583" t="str">
            <v>x</v>
          </cell>
          <cell r="N583" t="e">
            <v>#N/A</v>
          </cell>
          <cell r="O583" t="str">
            <v>Spin-on Hydraulic Filter</v>
          </cell>
        </row>
        <row r="584">
          <cell r="K584" t="str">
            <v>LFH5809</v>
          </cell>
          <cell r="L584" t="str">
            <v>HD</v>
          </cell>
          <cell r="M584" t="str">
            <v>x</v>
          </cell>
          <cell r="N584" t="e">
            <v>#N/A</v>
          </cell>
          <cell r="O584" t="str">
            <v>Spin-on Hydraulic Filter</v>
          </cell>
        </row>
        <row r="585">
          <cell r="K585" t="str">
            <v>LFF8061</v>
          </cell>
          <cell r="L585" t="str">
            <v>HD</v>
          </cell>
          <cell r="M585" t="str">
            <v>x</v>
          </cell>
          <cell r="N585" t="e">
            <v>#N/A</v>
          </cell>
          <cell r="O585" t="str">
            <v>Spin-on Fuel Filter</v>
          </cell>
        </row>
        <row r="586">
          <cell r="K586" t="str">
            <v>LFF6925</v>
          </cell>
          <cell r="L586" t="str">
            <v>HD</v>
          </cell>
          <cell r="M586" t="str">
            <v>x</v>
          </cell>
          <cell r="N586" t="e">
            <v>#N/A</v>
          </cell>
          <cell r="O586" t="str">
            <v>Spin-on Fuel Filter</v>
          </cell>
        </row>
        <row r="587">
          <cell r="K587" t="str">
            <v>LAF8145</v>
          </cell>
          <cell r="L587" t="str">
            <v>HD</v>
          </cell>
          <cell r="M587" t="str">
            <v>x</v>
          </cell>
          <cell r="N587" t="e">
            <v>#N/A</v>
          </cell>
          <cell r="O587" t="str">
            <v>Radial Seal Outer Air Filter</v>
          </cell>
        </row>
        <row r="588">
          <cell r="K588" t="str">
            <v>LAF6681</v>
          </cell>
          <cell r="L588" t="str">
            <v>HD</v>
          </cell>
          <cell r="M588" t="str">
            <v>x</v>
          </cell>
          <cell r="N588" t="e">
            <v>#N/A</v>
          </cell>
          <cell r="O588" t="str">
            <v>Radial Seal Air Filter (Primary)</v>
          </cell>
        </row>
        <row r="589">
          <cell r="K589" t="str">
            <v>LAF9543</v>
          </cell>
          <cell r="L589" t="str">
            <v>HD</v>
          </cell>
          <cell r="M589" t="str">
            <v>x</v>
          </cell>
          <cell r="N589" t="e">
            <v>#N/A</v>
          </cell>
          <cell r="O589" t="str">
            <v>Radial Seal Inner Air Filter</v>
          </cell>
        </row>
        <row r="590">
          <cell r="K590" t="str">
            <v>LFH8417</v>
          </cell>
          <cell r="L590" t="str">
            <v>HD</v>
          </cell>
          <cell r="M590" t="str">
            <v>x</v>
          </cell>
          <cell r="N590" t="str">
            <v>LFH8417</v>
          </cell>
          <cell r="O590" t="str">
            <v>Spin-on Hydraulic Filter</v>
          </cell>
        </row>
        <row r="591">
          <cell r="K591">
            <v>272</v>
          </cell>
          <cell r="L591" t="str">
            <v>HD</v>
          </cell>
          <cell r="M591" t="str">
            <v>x</v>
          </cell>
          <cell r="N591" t="e">
            <v>#N/A</v>
          </cell>
          <cell r="O591" t="str">
            <v>Detergent Type Oil Filter, Luber-finer 272-C, Diesel Pak</v>
          </cell>
        </row>
        <row r="592">
          <cell r="K592" t="str">
            <v>LFP958F</v>
          </cell>
          <cell r="L592" t="str">
            <v>HD</v>
          </cell>
          <cell r="M592" t="str">
            <v>x</v>
          </cell>
          <cell r="N592" t="e">
            <v>#N/A</v>
          </cell>
          <cell r="O592" t="str">
            <v>Spin-on Fuel Filter</v>
          </cell>
        </row>
        <row r="593">
          <cell r="K593" t="str">
            <v>LAF1854</v>
          </cell>
          <cell r="L593" t="str">
            <v>HD</v>
          </cell>
          <cell r="M593" t="str">
            <v>x</v>
          </cell>
          <cell r="N593" t="e">
            <v>#N/A</v>
          </cell>
          <cell r="O593" t="str">
            <v>HD Metal-End Inner Air Filter</v>
          </cell>
        </row>
        <row r="594">
          <cell r="K594" t="str">
            <v>LFH8728</v>
          </cell>
          <cell r="L594" t="str">
            <v>HD</v>
          </cell>
          <cell r="M594" t="str">
            <v>x</v>
          </cell>
          <cell r="N594" t="str">
            <v>LFH8728</v>
          </cell>
          <cell r="O594" t="str">
            <v>Spin-on Hydraulic Filter</v>
          </cell>
        </row>
        <row r="595">
          <cell r="K595" t="str">
            <v>LFF5322</v>
          </cell>
          <cell r="L595" t="str">
            <v>HD</v>
          </cell>
          <cell r="M595" t="str">
            <v>x</v>
          </cell>
          <cell r="N595" t="e">
            <v>#N/A</v>
          </cell>
          <cell r="O595" t="str">
            <v>Spin-on Fuel Filter</v>
          </cell>
        </row>
        <row r="596">
          <cell r="K596" t="str">
            <v>LFH8399</v>
          </cell>
          <cell r="L596" t="str">
            <v>HD</v>
          </cell>
          <cell r="M596" t="str">
            <v>x</v>
          </cell>
          <cell r="N596" t="str">
            <v>LFH8399</v>
          </cell>
          <cell r="O596" t="str">
            <v>Spin-on Hydraulic Filter</v>
          </cell>
        </row>
        <row r="597">
          <cell r="K597" t="str">
            <v>LFH4902</v>
          </cell>
          <cell r="L597" t="str">
            <v>HD</v>
          </cell>
          <cell r="M597" t="str">
            <v>x</v>
          </cell>
          <cell r="N597" t="e">
            <v>#N/A</v>
          </cell>
          <cell r="O597" t="str">
            <v>Spin-on Hydraulic Filter</v>
          </cell>
        </row>
        <row r="598">
          <cell r="K598" t="str">
            <v>LFP3307</v>
          </cell>
          <cell r="L598" t="str">
            <v>HD</v>
          </cell>
          <cell r="M598" t="str">
            <v>x</v>
          </cell>
          <cell r="N598" t="e">
            <v>#N/A</v>
          </cell>
          <cell r="O598" t="str">
            <v>Spin-on Oil Filter</v>
          </cell>
        </row>
        <row r="599">
          <cell r="K599" t="str">
            <v>LP7329XL</v>
          </cell>
          <cell r="L599" t="str">
            <v>HD</v>
          </cell>
          <cell r="M599" t="str">
            <v>x</v>
          </cell>
          <cell r="N599" t="e">
            <v>#N/A</v>
          </cell>
          <cell r="O599" t="str">
            <v>Extended Life Cartridge Oil Filter</v>
          </cell>
        </row>
        <row r="600">
          <cell r="K600" t="str">
            <v>L8242F</v>
          </cell>
          <cell r="L600" t="str">
            <v>HD</v>
          </cell>
          <cell r="M600" t="str">
            <v>x</v>
          </cell>
          <cell r="N600" t="e">
            <v>#N/A</v>
          </cell>
          <cell r="O600" t="str">
            <v>Cartridge Fuel Filter</v>
          </cell>
        </row>
        <row r="601">
          <cell r="K601" t="str">
            <v>L8893F</v>
          </cell>
          <cell r="L601" t="str">
            <v>HD</v>
          </cell>
          <cell r="M601" t="str">
            <v>x</v>
          </cell>
          <cell r="N601" t="e">
            <v>#N/A</v>
          </cell>
          <cell r="O601" t="str">
            <v>Cartridge Fuel Filter</v>
          </cell>
        </row>
        <row r="602">
          <cell r="K602" t="str">
            <v>LFP2546</v>
          </cell>
          <cell r="L602" t="str">
            <v>HD</v>
          </cell>
          <cell r="M602" t="str">
            <v>x</v>
          </cell>
          <cell r="N602" t="str">
            <v>LFP2546</v>
          </cell>
          <cell r="O602" t="str">
            <v>Spin-on Oil Filter</v>
          </cell>
        </row>
        <row r="603">
          <cell r="K603" t="str">
            <v>LP164</v>
          </cell>
          <cell r="L603" t="str">
            <v>HD</v>
          </cell>
          <cell r="M603" t="str">
            <v>x</v>
          </cell>
          <cell r="N603" t="e">
            <v>#N/A</v>
          </cell>
          <cell r="O603" t="str">
            <v>Cartridge Oil Filter</v>
          </cell>
        </row>
        <row r="604">
          <cell r="K604" t="str">
            <v>LFP936F</v>
          </cell>
          <cell r="L604" t="str">
            <v>HD</v>
          </cell>
          <cell r="M604" t="str">
            <v>x</v>
          </cell>
          <cell r="N604" t="e">
            <v>#N/A</v>
          </cell>
          <cell r="O604" t="str">
            <v>Spin-on Fuel Filter</v>
          </cell>
        </row>
        <row r="605">
          <cell r="K605" t="str">
            <v>LFF5510-30</v>
          </cell>
          <cell r="L605" t="str">
            <v>HD</v>
          </cell>
          <cell r="M605" t="str">
            <v>x</v>
          </cell>
          <cell r="N605" t="e">
            <v>#N/A</v>
          </cell>
          <cell r="O605" t="str">
            <v>Fuel Dispensing Filter</v>
          </cell>
        </row>
        <row r="606">
          <cell r="K606" t="str">
            <v>LAF1819</v>
          </cell>
          <cell r="L606" t="str">
            <v>HD</v>
          </cell>
          <cell r="M606" t="str">
            <v>x</v>
          </cell>
          <cell r="N606" t="e">
            <v>#N/A</v>
          </cell>
          <cell r="O606" t="str">
            <v>HD Metal-End Air Filter</v>
          </cell>
        </row>
        <row r="607">
          <cell r="K607" t="str">
            <v>LAF5028</v>
          </cell>
          <cell r="L607" t="str">
            <v>HD</v>
          </cell>
          <cell r="M607" t="str">
            <v>x</v>
          </cell>
          <cell r="N607" t="e">
            <v>#N/A</v>
          </cell>
          <cell r="O607" t="str">
            <v>Flexible Panel Air Filter</v>
          </cell>
        </row>
        <row r="608">
          <cell r="K608" t="str">
            <v>LAF8427</v>
          </cell>
          <cell r="L608" t="str">
            <v>HD</v>
          </cell>
          <cell r="M608" t="str">
            <v>x</v>
          </cell>
          <cell r="N608" t="str">
            <v>LAF8427</v>
          </cell>
          <cell r="O608" t="str">
            <v>Disposible Housing Air Filter</v>
          </cell>
        </row>
        <row r="609">
          <cell r="K609" t="str">
            <v>LFF3800</v>
          </cell>
          <cell r="L609" t="str">
            <v>HD</v>
          </cell>
          <cell r="M609" t="str">
            <v>x</v>
          </cell>
          <cell r="N609" t="e">
            <v>#N/A</v>
          </cell>
          <cell r="O609" t="str">
            <v>Spin-on Fuel Filter</v>
          </cell>
        </row>
        <row r="610">
          <cell r="K610" t="str">
            <v>LAF9101</v>
          </cell>
          <cell r="L610" t="str">
            <v>HD</v>
          </cell>
          <cell r="M610" t="str">
            <v>x</v>
          </cell>
          <cell r="N610" t="e">
            <v>#N/A</v>
          </cell>
          <cell r="O610" t="str">
            <v>Radial Seal Outer Air Filter</v>
          </cell>
        </row>
        <row r="611">
          <cell r="K611" t="str">
            <v>LFF870</v>
          </cell>
          <cell r="L611" t="str">
            <v>HD</v>
          </cell>
          <cell r="M611" t="str">
            <v>x</v>
          </cell>
          <cell r="N611" t="e">
            <v>#N/A</v>
          </cell>
          <cell r="O611" t="str">
            <v>Cartridge Fuel Filter</v>
          </cell>
        </row>
        <row r="612">
          <cell r="K612" t="str">
            <v>LFF1131</v>
          </cell>
          <cell r="L612" t="str">
            <v>HD</v>
          </cell>
          <cell r="M612" t="str">
            <v>x</v>
          </cell>
          <cell r="N612" t="e">
            <v>#N/A</v>
          </cell>
          <cell r="O612" t="str">
            <v>Box-type Fuel Filter</v>
          </cell>
        </row>
        <row r="613">
          <cell r="K613" t="str">
            <v>L22023F</v>
          </cell>
          <cell r="L613" t="str">
            <v>HD</v>
          </cell>
          <cell r="M613" t="str">
            <v>x</v>
          </cell>
          <cell r="N613" t="e">
            <v>#N/A</v>
          </cell>
          <cell r="O613" t="str">
            <v>Snap-lock Fuel/Water Separator Filter</v>
          </cell>
        </row>
        <row r="614">
          <cell r="K614" t="str">
            <v>LFH4473</v>
          </cell>
          <cell r="L614" t="str">
            <v>HD</v>
          </cell>
          <cell r="M614" t="str">
            <v>x</v>
          </cell>
          <cell r="N614" t="e">
            <v>#N/A</v>
          </cell>
          <cell r="O614" t="str">
            <v>Spin-on Hydraulic Filter</v>
          </cell>
        </row>
        <row r="615">
          <cell r="K615" t="str">
            <v>LAF8486</v>
          </cell>
          <cell r="L615" t="str">
            <v>HD</v>
          </cell>
          <cell r="M615" t="str">
            <v>x</v>
          </cell>
          <cell r="N615" t="e">
            <v>#N/A</v>
          </cell>
          <cell r="O615" t="str">
            <v>Disposible Housing Air Filter</v>
          </cell>
        </row>
        <row r="616">
          <cell r="K616" t="str">
            <v>L6265F</v>
          </cell>
          <cell r="L616" t="str">
            <v>HD</v>
          </cell>
          <cell r="M616" t="str">
            <v>x</v>
          </cell>
          <cell r="N616" t="e">
            <v>#N/A</v>
          </cell>
          <cell r="O616" t="str">
            <v>Snap-Lock Fuel Filter</v>
          </cell>
        </row>
        <row r="617">
          <cell r="K617" t="str">
            <v>LAF1095</v>
          </cell>
          <cell r="L617" t="str">
            <v>HD</v>
          </cell>
          <cell r="M617" t="str">
            <v>x</v>
          </cell>
          <cell r="N617" t="e">
            <v>#N/A</v>
          </cell>
          <cell r="O617" t="str">
            <v>HD Metal-End Air Filter</v>
          </cell>
        </row>
        <row r="618">
          <cell r="K618" t="str">
            <v>LAF5934</v>
          </cell>
          <cell r="L618" t="str">
            <v>HD</v>
          </cell>
          <cell r="M618" t="str">
            <v>x</v>
          </cell>
          <cell r="N618" t="e">
            <v>#N/A</v>
          </cell>
          <cell r="O618" t="str">
            <v>Corrugated Media Air Filter</v>
          </cell>
        </row>
        <row r="619">
          <cell r="K619" t="str">
            <v>LFF2040</v>
          </cell>
          <cell r="L619" t="str">
            <v>HD</v>
          </cell>
          <cell r="M619" t="str">
            <v>x</v>
          </cell>
          <cell r="N619" t="e">
            <v>#N/A</v>
          </cell>
          <cell r="O619" t="str">
            <v>Cartridge Fuel Water Separator Filter</v>
          </cell>
        </row>
        <row r="620">
          <cell r="K620" t="str">
            <v>LFP8752</v>
          </cell>
          <cell r="L620" t="str">
            <v>HD</v>
          </cell>
          <cell r="M620" t="str">
            <v>x</v>
          </cell>
          <cell r="N620" t="e">
            <v>#N/A</v>
          </cell>
          <cell r="O620" t="str">
            <v>Spin-on Oil Filter</v>
          </cell>
        </row>
        <row r="621">
          <cell r="K621" t="str">
            <v>261F</v>
          </cell>
          <cell r="L621" t="str">
            <v>HD</v>
          </cell>
          <cell r="M621" t="str">
            <v>x</v>
          </cell>
          <cell r="N621" t="e">
            <v>#N/A</v>
          </cell>
          <cell r="O621" t="str">
            <v>Cartridge Fuel Filter</v>
          </cell>
        </row>
        <row r="622">
          <cell r="K622" t="str">
            <v>LFF5127</v>
          </cell>
          <cell r="L622" t="str">
            <v>HD</v>
          </cell>
          <cell r="M622" t="str">
            <v>x</v>
          </cell>
          <cell r="N622" t="str">
            <v>LFF5127</v>
          </cell>
          <cell r="O622" t="str">
            <v>Spin-on Fuel Filter</v>
          </cell>
        </row>
        <row r="623">
          <cell r="K623" t="str">
            <v>LAF1828</v>
          </cell>
          <cell r="L623" t="str">
            <v>HD</v>
          </cell>
          <cell r="M623" t="str">
            <v>x</v>
          </cell>
          <cell r="N623" t="e">
            <v>#N/A</v>
          </cell>
          <cell r="O623" t="str">
            <v>Disposible Housing Air Filter</v>
          </cell>
        </row>
        <row r="624">
          <cell r="K624" t="str">
            <v>LFF5089</v>
          </cell>
          <cell r="L624" t="str">
            <v>HD</v>
          </cell>
          <cell r="M624" t="str">
            <v>x</v>
          </cell>
          <cell r="N624" t="str">
            <v>LFF5089</v>
          </cell>
          <cell r="O624" t="str">
            <v>Spin-on Fuel Water Separator Filter</v>
          </cell>
        </row>
        <row r="625">
          <cell r="K625" t="str">
            <v>LAF3585</v>
          </cell>
          <cell r="L625" t="str">
            <v>HD</v>
          </cell>
          <cell r="M625" t="str">
            <v>x</v>
          </cell>
          <cell r="N625" t="e">
            <v>#N/A</v>
          </cell>
          <cell r="O625" t="str">
            <v>Radial Seal Inner Air Filter</v>
          </cell>
        </row>
        <row r="626">
          <cell r="K626" t="str">
            <v>LFP944F</v>
          </cell>
          <cell r="L626" t="str">
            <v>HD</v>
          </cell>
          <cell r="M626" t="str">
            <v>x</v>
          </cell>
          <cell r="N626" t="e">
            <v>#N/A</v>
          </cell>
          <cell r="O626" t="str">
            <v>Spin-on Fuel Filter</v>
          </cell>
        </row>
        <row r="627">
          <cell r="K627" t="str">
            <v>L3541F</v>
          </cell>
          <cell r="L627" t="str">
            <v>HD</v>
          </cell>
          <cell r="M627" t="str">
            <v>x</v>
          </cell>
          <cell r="N627" t="e">
            <v>#N/A</v>
          </cell>
          <cell r="O627" t="str">
            <v>Cartridge Fuel Filter</v>
          </cell>
        </row>
        <row r="628">
          <cell r="K628" t="str">
            <v>LFP925F</v>
          </cell>
          <cell r="L628" t="str">
            <v>HD</v>
          </cell>
          <cell r="M628" t="str">
            <v>x</v>
          </cell>
          <cell r="N628" t="e">
            <v>#N/A</v>
          </cell>
          <cell r="O628" t="str">
            <v>Spin-on Fuel Filter</v>
          </cell>
        </row>
        <row r="629">
          <cell r="K629" t="str">
            <v>LAF5802</v>
          </cell>
          <cell r="L629" t="str">
            <v>HD</v>
          </cell>
          <cell r="M629" t="str">
            <v>x</v>
          </cell>
          <cell r="N629" t="e">
            <v>#N/A</v>
          </cell>
          <cell r="O629" t="str">
            <v>Round Air Filter</v>
          </cell>
        </row>
        <row r="630">
          <cell r="K630" t="str">
            <v>LAF1858</v>
          </cell>
          <cell r="L630" t="str">
            <v>HD</v>
          </cell>
          <cell r="M630" t="str">
            <v>x</v>
          </cell>
          <cell r="N630" t="e">
            <v>#N/A</v>
          </cell>
          <cell r="O630" t="str">
            <v>Finned Vane Air Filter</v>
          </cell>
        </row>
        <row r="631">
          <cell r="K631" t="str">
            <v>LAF234HD</v>
          </cell>
          <cell r="L631" t="str">
            <v>HD</v>
          </cell>
          <cell r="M631" t="str">
            <v>x</v>
          </cell>
          <cell r="N631" t="e">
            <v>#N/A</v>
          </cell>
          <cell r="O631" t="str">
            <v>Finned Vane Air Filter</v>
          </cell>
        </row>
        <row r="632">
          <cell r="K632" t="str">
            <v>LAF2959</v>
          </cell>
          <cell r="L632" t="str">
            <v>HD</v>
          </cell>
          <cell r="M632" t="str">
            <v>x</v>
          </cell>
          <cell r="N632" t="e">
            <v>#N/A</v>
          </cell>
          <cell r="O632" t="str">
            <v>Corrugated Media Air Filter</v>
          </cell>
        </row>
        <row r="633">
          <cell r="K633" t="str">
            <v>LAF694</v>
          </cell>
          <cell r="L633" t="str">
            <v>HD</v>
          </cell>
          <cell r="M633" t="str">
            <v>x</v>
          </cell>
          <cell r="N633" t="e">
            <v>#N/A</v>
          </cell>
          <cell r="O633" t="str">
            <v>Cone Shaped Conical Air Filter</v>
          </cell>
        </row>
        <row r="634">
          <cell r="K634" t="str">
            <v>LAF9373</v>
          </cell>
          <cell r="L634" t="str">
            <v>HD</v>
          </cell>
          <cell r="M634" t="str">
            <v>x</v>
          </cell>
          <cell r="N634" t="e">
            <v>#N/A</v>
          </cell>
          <cell r="O634" t="str">
            <v>Round Inner Air Filter</v>
          </cell>
        </row>
        <row r="635">
          <cell r="K635" t="str">
            <v>LFH5011W-30</v>
          </cell>
          <cell r="L635" t="str">
            <v>HD</v>
          </cell>
          <cell r="M635" t="str">
            <v>x</v>
          </cell>
          <cell r="N635" t="e">
            <v>#N/A</v>
          </cell>
          <cell r="O635" t="str">
            <v>Spin-on Hydraulic Filter</v>
          </cell>
        </row>
        <row r="636">
          <cell r="K636" t="str">
            <v>LAF1680</v>
          </cell>
          <cell r="L636" t="str">
            <v>HD</v>
          </cell>
          <cell r="M636" t="str">
            <v>x</v>
          </cell>
          <cell r="N636" t="e">
            <v>#N/A</v>
          </cell>
          <cell r="O636" t="str">
            <v>Flexible Panel Air Filter</v>
          </cell>
        </row>
        <row r="637">
          <cell r="K637" t="str">
            <v>LFF90013</v>
          </cell>
          <cell r="L637" t="str">
            <v>HD</v>
          </cell>
          <cell r="M637" t="str">
            <v>x</v>
          </cell>
          <cell r="N637" t="e">
            <v>#N/A</v>
          </cell>
          <cell r="O637" t="str">
            <v>Bowl Style Fuel Water Separator Filter</v>
          </cell>
        </row>
        <row r="638">
          <cell r="K638" t="str">
            <v>LAF588</v>
          </cell>
          <cell r="L638" t="str">
            <v>HD</v>
          </cell>
          <cell r="M638" t="str">
            <v>x</v>
          </cell>
          <cell r="N638" t="e">
            <v>#N/A</v>
          </cell>
          <cell r="O638" t="str">
            <v>Round Air Filter</v>
          </cell>
        </row>
        <row r="639">
          <cell r="K639" t="str">
            <v>LAF5255</v>
          </cell>
          <cell r="L639" t="str">
            <v>HD</v>
          </cell>
          <cell r="M639" t="str">
            <v>x</v>
          </cell>
          <cell r="N639" t="e">
            <v>#N/A</v>
          </cell>
          <cell r="O639" t="str">
            <v>Finned Vane Air Filter</v>
          </cell>
        </row>
        <row r="640">
          <cell r="K640" t="str">
            <v>L8891F</v>
          </cell>
          <cell r="L640" t="str">
            <v>HD</v>
          </cell>
          <cell r="M640" t="str">
            <v>x</v>
          </cell>
          <cell r="N640" t="e">
            <v>#N/A</v>
          </cell>
          <cell r="O640" t="str">
            <v>Snap-Lock Fuel Filter</v>
          </cell>
        </row>
        <row r="641">
          <cell r="K641" t="str">
            <v>LFH8217</v>
          </cell>
          <cell r="L641" t="str">
            <v>HD</v>
          </cell>
          <cell r="M641" t="str">
            <v>x</v>
          </cell>
          <cell r="N641" t="str">
            <v>LFH8217</v>
          </cell>
          <cell r="O641" t="str">
            <v>Spin-on Hydraulic Filter</v>
          </cell>
        </row>
        <row r="642">
          <cell r="K642" t="str">
            <v>LAF1784</v>
          </cell>
          <cell r="L642" t="str">
            <v>HD</v>
          </cell>
          <cell r="M642" t="str">
            <v>x</v>
          </cell>
          <cell r="N642" t="e">
            <v>#N/A</v>
          </cell>
          <cell r="O642" t="str">
            <v>HD Metal-End Air Filter-Inner</v>
          </cell>
        </row>
        <row r="643">
          <cell r="K643" t="str">
            <v>LFF3526</v>
          </cell>
          <cell r="L643" t="str">
            <v>HD</v>
          </cell>
          <cell r="M643" t="str">
            <v>x</v>
          </cell>
          <cell r="N643" t="e">
            <v>#N/A</v>
          </cell>
          <cell r="O643" t="str">
            <v>Spin-on Fuel Filter</v>
          </cell>
        </row>
        <row r="644">
          <cell r="K644" t="str">
            <v>LAF1845</v>
          </cell>
          <cell r="L644" t="str">
            <v>HD</v>
          </cell>
          <cell r="M644" t="str">
            <v>x</v>
          </cell>
          <cell r="N644" t="e">
            <v>#N/A</v>
          </cell>
          <cell r="O644" t="str">
            <v>HD Round Air Filter with Attached Boot</v>
          </cell>
        </row>
        <row r="645">
          <cell r="K645" t="str">
            <v>LFF4293</v>
          </cell>
          <cell r="L645" t="str">
            <v>HD</v>
          </cell>
          <cell r="M645" t="str">
            <v>x</v>
          </cell>
          <cell r="N645" t="e">
            <v>#N/A</v>
          </cell>
          <cell r="O645" t="str">
            <v>Spin-on Fuel Filter</v>
          </cell>
        </row>
        <row r="646">
          <cell r="K646" t="str">
            <v>LAF1834</v>
          </cell>
          <cell r="L646" t="str">
            <v>HD</v>
          </cell>
          <cell r="M646" t="str">
            <v>x</v>
          </cell>
          <cell r="N646" t="e">
            <v>#N/A</v>
          </cell>
          <cell r="O646" t="str">
            <v>HD Metal-End Air Filter</v>
          </cell>
        </row>
        <row r="647">
          <cell r="K647" t="str">
            <v>LFP3301F</v>
          </cell>
          <cell r="L647" t="str">
            <v>HD</v>
          </cell>
          <cell r="M647" t="str">
            <v>x</v>
          </cell>
          <cell r="N647" t="e">
            <v>#N/A</v>
          </cell>
          <cell r="O647" t="str">
            <v>Spin-on Fuel Filter</v>
          </cell>
        </row>
        <row r="648">
          <cell r="K648" t="str">
            <v>LP970-5</v>
          </cell>
          <cell r="L648" t="str">
            <v>HD</v>
          </cell>
          <cell r="M648" t="str">
            <v>x</v>
          </cell>
          <cell r="N648" t="e">
            <v>#N/A</v>
          </cell>
          <cell r="O648" t="str">
            <v>Cartridge Oil Filter</v>
          </cell>
        </row>
        <row r="649">
          <cell r="K649" t="str">
            <v>LAF5938</v>
          </cell>
          <cell r="L649" t="str">
            <v>HD</v>
          </cell>
          <cell r="M649" t="str">
            <v>x</v>
          </cell>
          <cell r="N649" t="e">
            <v>#N/A</v>
          </cell>
          <cell r="O649" t="str">
            <v>Corrugated Media Air Filter</v>
          </cell>
        </row>
        <row r="650">
          <cell r="K650" t="str">
            <v>LP7329</v>
          </cell>
          <cell r="L650" t="str">
            <v>HD</v>
          </cell>
          <cell r="M650" t="str">
            <v>x</v>
          </cell>
          <cell r="N650" t="e">
            <v>#N/A</v>
          </cell>
          <cell r="O650" t="str">
            <v>Cartridge Oil Filter</v>
          </cell>
        </row>
        <row r="651">
          <cell r="K651" t="str">
            <v>L8867F</v>
          </cell>
          <cell r="L651" t="str">
            <v>HD</v>
          </cell>
          <cell r="M651" t="str">
            <v>x</v>
          </cell>
          <cell r="N651" t="e">
            <v>#N/A</v>
          </cell>
          <cell r="O651" t="str">
            <v>Snap-Lock Fuel Filter</v>
          </cell>
        </row>
        <row r="652">
          <cell r="K652" t="str">
            <v>LAF2532</v>
          </cell>
          <cell r="L652" t="str">
            <v>HD</v>
          </cell>
          <cell r="M652" t="str">
            <v>x</v>
          </cell>
          <cell r="N652" t="str">
            <v>LAF2532</v>
          </cell>
          <cell r="O652" t="str">
            <v>Disposible Housing Air Filter</v>
          </cell>
        </row>
        <row r="653">
          <cell r="K653" t="str">
            <v>18864</v>
          </cell>
          <cell r="L653" t="str">
            <v>HD</v>
          </cell>
          <cell r="M653" t="str">
            <v>x</v>
          </cell>
          <cell r="N653" t="e">
            <v>#N/A</v>
          </cell>
          <cell r="O653" t="str">
            <v>Inlet Check-Valve Assembly Complete (Opt.#4 Orifice)/500-C, CT, 750-C, CT</v>
          </cell>
        </row>
        <row r="654">
          <cell r="K654" t="str">
            <v>LFH5011-W</v>
          </cell>
          <cell r="L654" t="str">
            <v>HD</v>
          </cell>
          <cell r="M654" t="str">
            <v>x</v>
          </cell>
          <cell r="N654" t="e">
            <v>#N/A</v>
          </cell>
          <cell r="O654" t="str">
            <v>Dispensing Pump Fuel Filter</v>
          </cell>
        </row>
        <row r="655">
          <cell r="K655" t="str">
            <v>LFP811F</v>
          </cell>
          <cell r="L655" t="str">
            <v>HD</v>
          </cell>
          <cell r="M655" t="str">
            <v>x</v>
          </cell>
          <cell r="N655" t="e">
            <v>#N/A</v>
          </cell>
          <cell r="O655" t="str">
            <v>Spin-on Fuel Filter</v>
          </cell>
        </row>
        <row r="656">
          <cell r="K656" t="str">
            <v>LAF926</v>
          </cell>
          <cell r="L656" t="str">
            <v>HD</v>
          </cell>
          <cell r="M656" t="str">
            <v>x</v>
          </cell>
          <cell r="N656" t="e">
            <v>#N/A</v>
          </cell>
          <cell r="O656" t="str">
            <v>HD Metal-End Air Filter</v>
          </cell>
        </row>
        <row r="657">
          <cell r="K657" t="str">
            <v>L1645C</v>
          </cell>
          <cell r="L657" t="str">
            <v>HD</v>
          </cell>
          <cell r="M657" t="str">
            <v>x</v>
          </cell>
          <cell r="N657" t="e">
            <v>#N/A</v>
          </cell>
          <cell r="O657" t="str">
            <v>Sock Type Oil Filter</v>
          </cell>
        </row>
        <row r="658">
          <cell r="K658" t="str">
            <v>750</v>
          </cell>
          <cell r="L658" t="str">
            <v>HD</v>
          </cell>
          <cell r="M658" t="str">
            <v>x</v>
          </cell>
          <cell r="N658" t="e">
            <v>#N/A</v>
          </cell>
          <cell r="O658" t="str">
            <v>Refining Oil Filter lement with Alumina used with Luberfiner 750 Units</v>
          </cell>
        </row>
        <row r="659">
          <cell r="K659" t="str">
            <v>LFH22052</v>
          </cell>
          <cell r="L659" t="str">
            <v>HD</v>
          </cell>
          <cell r="M659" t="str">
            <v>x</v>
          </cell>
          <cell r="N659" t="e">
            <v>#N/A</v>
          </cell>
          <cell r="O659" t="str">
            <v>Spin-on Hydraulic Filter</v>
          </cell>
        </row>
        <row r="660">
          <cell r="K660" t="str">
            <v>LFP5723</v>
          </cell>
          <cell r="L660" t="str">
            <v>HD</v>
          </cell>
          <cell r="M660" t="str">
            <v>x</v>
          </cell>
          <cell r="N660" t="e">
            <v>#N/A</v>
          </cell>
          <cell r="O660" t="str">
            <v>Spin-on Oil Filter</v>
          </cell>
        </row>
        <row r="661">
          <cell r="K661" t="str">
            <v>LAF5868</v>
          </cell>
          <cell r="L661" t="str">
            <v>HD</v>
          </cell>
          <cell r="M661" t="str">
            <v>x</v>
          </cell>
          <cell r="N661" t="e">
            <v>#N/A</v>
          </cell>
          <cell r="O661" t="str">
            <v>Radial Seal Inner Air Filter</v>
          </cell>
        </row>
        <row r="662">
          <cell r="K662" t="str">
            <v>LFH8759G</v>
          </cell>
          <cell r="L662" t="str">
            <v>HD</v>
          </cell>
          <cell r="M662" t="str">
            <v>x</v>
          </cell>
          <cell r="N662" t="e">
            <v>#N/A</v>
          </cell>
          <cell r="O662" t="str">
            <v>Spin-on Hydraulic Filter</v>
          </cell>
        </row>
        <row r="663">
          <cell r="K663" t="str">
            <v>LAF5872</v>
          </cell>
          <cell r="L663" t="str">
            <v>HD</v>
          </cell>
          <cell r="M663" t="str">
            <v>x</v>
          </cell>
          <cell r="N663" t="e">
            <v>#N/A</v>
          </cell>
          <cell r="O663" t="str">
            <v>Radial Seal Inner Air Filter</v>
          </cell>
        </row>
        <row r="664">
          <cell r="K664" t="str">
            <v>LFF4511</v>
          </cell>
          <cell r="L664" t="str">
            <v>HD</v>
          </cell>
          <cell r="M664" t="str">
            <v>x</v>
          </cell>
          <cell r="N664" t="e">
            <v>#N/A</v>
          </cell>
          <cell r="O664" t="str">
            <v>Fuel Dispensing Filter</v>
          </cell>
        </row>
        <row r="665">
          <cell r="K665" t="str">
            <v>L4109F</v>
          </cell>
          <cell r="L665" t="str">
            <v>HD</v>
          </cell>
          <cell r="M665" t="str">
            <v>x</v>
          </cell>
          <cell r="N665" t="e">
            <v>#N/A</v>
          </cell>
          <cell r="O665" t="str">
            <v>Snap-lock Fuel/Water Separator Filter</v>
          </cell>
        </row>
        <row r="666">
          <cell r="K666" t="str">
            <v>L4606F</v>
          </cell>
          <cell r="L666" t="str">
            <v>HD</v>
          </cell>
          <cell r="M666" t="str">
            <v>x</v>
          </cell>
          <cell r="N666" t="e">
            <v>#N/A</v>
          </cell>
          <cell r="O666" t="str">
            <v>Fuel Filter Kit Primary/Secondary</v>
          </cell>
        </row>
        <row r="667">
          <cell r="K667" t="str">
            <v>LAF265HD</v>
          </cell>
          <cell r="L667" t="str">
            <v>HD</v>
          </cell>
          <cell r="M667" t="str">
            <v>x</v>
          </cell>
          <cell r="N667" t="e">
            <v>#N/A</v>
          </cell>
          <cell r="O667" t="str">
            <v>HD Metal-End Air Filter</v>
          </cell>
        </row>
        <row r="668">
          <cell r="K668" t="str">
            <v>LAF3916</v>
          </cell>
          <cell r="L668" t="str">
            <v>HD</v>
          </cell>
          <cell r="M668" t="str">
            <v>x</v>
          </cell>
          <cell r="N668" t="e">
            <v>#N/A</v>
          </cell>
          <cell r="O668" t="str">
            <v>HD Metal-End Air Filter</v>
          </cell>
        </row>
        <row r="669">
          <cell r="K669" t="str">
            <v>LP2854</v>
          </cell>
          <cell r="L669" t="str">
            <v>HD</v>
          </cell>
          <cell r="M669" t="str">
            <v>x</v>
          </cell>
          <cell r="N669" t="e">
            <v>#N/A</v>
          </cell>
          <cell r="O669" t="str">
            <v>Cartridge Hydraulic Filter</v>
          </cell>
        </row>
        <row r="670">
          <cell r="K670" t="str">
            <v>LAF5932</v>
          </cell>
          <cell r="L670" t="str">
            <v>HD</v>
          </cell>
          <cell r="M670" t="str">
            <v>x</v>
          </cell>
          <cell r="N670" t="e">
            <v>#N/A</v>
          </cell>
          <cell r="O670" t="str">
            <v>Radial Seal Inner Air Filter Inner</v>
          </cell>
        </row>
        <row r="671">
          <cell r="K671" t="str">
            <v>LH5461</v>
          </cell>
          <cell r="L671" t="str">
            <v>HD</v>
          </cell>
          <cell r="M671" t="str">
            <v>x</v>
          </cell>
          <cell r="N671" t="e">
            <v>#N/A</v>
          </cell>
          <cell r="O671" t="str">
            <v>Cartridge Hydraulic Filter</v>
          </cell>
        </row>
        <row r="672">
          <cell r="K672" t="str">
            <v>LFF4102</v>
          </cell>
          <cell r="L672" t="str">
            <v>HD</v>
          </cell>
          <cell r="M672" t="str">
            <v>x</v>
          </cell>
          <cell r="N672" t="str">
            <v>LFF4102</v>
          </cell>
          <cell r="O672" t="str">
            <v>Spin-on Fuel Filter</v>
          </cell>
        </row>
        <row r="673">
          <cell r="K673" t="str">
            <v>LFH8534</v>
          </cell>
          <cell r="L673" t="str">
            <v>HD</v>
          </cell>
          <cell r="M673" t="str">
            <v>x</v>
          </cell>
          <cell r="N673" t="e">
            <v>#N/A</v>
          </cell>
          <cell r="O673" t="str">
            <v>Spin-on Hydraulic Filter</v>
          </cell>
        </row>
        <row r="674">
          <cell r="K674" t="str">
            <v>LAF15</v>
          </cell>
          <cell r="L674" t="str">
            <v>HD</v>
          </cell>
          <cell r="M674" t="str">
            <v>x</v>
          </cell>
          <cell r="N674" t="e">
            <v>#N/A</v>
          </cell>
          <cell r="O674" t="str">
            <v>Rigid Panel Air Filter</v>
          </cell>
        </row>
        <row r="675">
          <cell r="K675" t="str">
            <v>LP509</v>
          </cell>
          <cell r="L675" t="str">
            <v>HD</v>
          </cell>
          <cell r="M675" t="str">
            <v>x</v>
          </cell>
          <cell r="N675" t="e">
            <v>#N/A</v>
          </cell>
          <cell r="O675" t="str">
            <v>Cartridge Hydraulic Filter</v>
          </cell>
        </row>
        <row r="676">
          <cell r="K676" t="str">
            <v>LAF241HD</v>
          </cell>
          <cell r="L676" t="str">
            <v>HD</v>
          </cell>
          <cell r="M676" t="str">
            <v>x</v>
          </cell>
          <cell r="N676" t="e">
            <v>#N/A</v>
          </cell>
          <cell r="O676" t="str">
            <v>Finned Vane Air Filter</v>
          </cell>
        </row>
        <row r="677">
          <cell r="K677" t="str">
            <v>LAF6587</v>
          </cell>
          <cell r="L677" t="str">
            <v>HD</v>
          </cell>
          <cell r="M677" t="str">
            <v>x</v>
          </cell>
          <cell r="N677" t="e">
            <v>#N/A</v>
          </cell>
          <cell r="O677" t="str">
            <v>HD Metal-End Air Filter</v>
          </cell>
        </row>
        <row r="678">
          <cell r="K678" t="str">
            <v>LH4591G</v>
          </cell>
          <cell r="L678" t="str">
            <v>HD</v>
          </cell>
          <cell r="M678" t="str">
            <v>x</v>
          </cell>
          <cell r="N678" t="e">
            <v>#N/A</v>
          </cell>
          <cell r="O678" t="str">
            <v>Cartridge Power Steering (Hydraulic) Filter</v>
          </cell>
        </row>
        <row r="679">
          <cell r="K679" t="str">
            <v>LAF1747</v>
          </cell>
          <cell r="L679" t="str">
            <v>HD</v>
          </cell>
          <cell r="M679" t="str">
            <v>x</v>
          </cell>
          <cell r="N679" t="e">
            <v>#N/A</v>
          </cell>
          <cell r="O679" t="str">
            <v>HD Metal-End Air Filter</v>
          </cell>
        </row>
        <row r="680">
          <cell r="K680" t="str">
            <v>LAF22026</v>
          </cell>
          <cell r="L680" t="str">
            <v>HD</v>
          </cell>
          <cell r="M680" t="str">
            <v>x</v>
          </cell>
          <cell r="N680" t="e">
            <v>#N/A</v>
          </cell>
          <cell r="O680" t="str">
            <v>Disposible Housing Air Filter</v>
          </cell>
        </row>
        <row r="681">
          <cell r="K681" t="str">
            <v>LFF3501</v>
          </cell>
          <cell r="L681" t="str">
            <v>HD</v>
          </cell>
          <cell r="M681" t="str">
            <v>x</v>
          </cell>
          <cell r="N681" t="e">
            <v>#N/A</v>
          </cell>
          <cell r="O681" t="str">
            <v>Spin-on Fuel Filter</v>
          </cell>
        </row>
        <row r="682">
          <cell r="K682" t="str">
            <v>L8968F</v>
          </cell>
          <cell r="L682" t="str">
            <v>HD</v>
          </cell>
          <cell r="M682" t="str">
            <v>x</v>
          </cell>
          <cell r="N682" t="e">
            <v>#N/A</v>
          </cell>
          <cell r="O682" t="str">
            <v>Cartridge Fuel Filter</v>
          </cell>
        </row>
        <row r="683">
          <cell r="K683" t="str">
            <v>LAF8772</v>
          </cell>
          <cell r="L683" t="str">
            <v>HD</v>
          </cell>
          <cell r="M683" t="str">
            <v>x</v>
          </cell>
          <cell r="N683" t="e">
            <v>#N/A</v>
          </cell>
          <cell r="O683" t="str">
            <v>HD Metal-End Air Filter</v>
          </cell>
        </row>
        <row r="684">
          <cell r="K684" t="str">
            <v>LAF1458</v>
          </cell>
          <cell r="L684" t="str">
            <v>HD</v>
          </cell>
          <cell r="M684" t="str">
            <v>x</v>
          </cell>
          <cell r="N684" t="e">
            <v>#N/A</v>
          </cell>
          <cell r="O684" t="str">
            <v>Finned Vane Air Filter</v>
          </cell>
        </row>
        <row r="685">
          <cell r="K685" t="str">
            <v>L2020F-30</v>
          </cell>
          <cell r="L685" t="str">
            <v>HD</v>
          </cell>
          <cell r="M685" t="str">
            <v>x</v>
          </cell>
          <cell r="N685" t="e">
            <v>#N/A</v>
          </cell>
          <cell r="O685" t="str">
            <v>Cartridge Fuel Water Separator Filter</v>
          </cell>
        </row>
        <row r="686">
          <cell r="K686" t="str">
            <v>LAF1732</v>
          </cell>
          <cell r="L686" t="str">
            <v>HD</v>
          </cell>
          <cell r="M686" t="str">
            <v>x</v>
          </cell>
          <cell r="N686" t="e">
            <v>#N/A</v>
          </cell>
          <cell r="O686" t="str">
            <v>HD Metal-End Air Filter</v>
          </cell>
        </row>
        <row r="687">
          <cell r="K687" t="str">
            <v>LP566</v>
          </cell>
          <cell r="L687" t="str">
            <v>HD</v>
          </cell>
          <cell r="M687" t="str">
            <v>x</v>
          </cell>
          <cell r="N687" t="e">
            <v>#N/A</v>
          </cell>
          <cell r="O687" t="str">
            <v>Cartridge Oil Filter</v>
          </cell>
        </row>
        <row r="688">
          <cell r="K688" t="str">
            <v>LFH5074G</v>
          </cell>
          <cell r="L688" t="str">
            <v>HD</v>
          </cell>
          <cell r="M688" t="str">
            <v>x</v>
          </cell>
          <cell r="N688" t="e">
            <v>#N/A</v>
          </cell>
          <cell r="O688" t="str">
            <v>Spin-on Hydraulic Filter</v>
          </cell>
        </row>
        <row r="689">
          <cell r="K689" t="str">
            <v>L8680F</v>
          </cell>
          <cell r="L689" t="str">
            <v>HD</v>
          </cell>
          <cell r="M689" t="str">
            <v>x</v>
          </cell>
          <cell r="N689" t="e">
            <v>#N/A</v>
          </cell>
          <cell r="O689" t="str">
            <v>Snap-Lock Fuel Filter</v>
          </cell>
        </row>
        <row r="690">
          <cell r="K690" t="str">
            <v>ZKIT9750</v>
          </cell>
          <cell r="L690" t="str">
            <v>HD</v>
          </cell>
          <cell r="M690" t="str">
            <v>x</v>
          </cell>
          <cell r="N690" t="e">
            <v>#N/A</v>
          </cell>
          <cell r="O690" t="str">
            <v>Oil Filter &amp; Mtg Base Kit</v>
          </cell>
        </row>
        <row r="691">
          <cell r="K691" t="str">
            <v>CAF24006</v>
          </cell>
          <cell r="L691" t="str">
            <v>HD</v>
          </cell>
          <cell r="M691" t="str">
            <v>x</v>
          </cell>
          <cell r="N691" t="e">
            <v>#N/A</v>
          </cell>
          <cell r="O691" t="str">
            <v>Cabin Air Filter</v>
          </cell>
        </row>
        <row r="692">
          <cell r="K692" t="str">
            <v>LFF3540</v>
          </cell>
          <cell r="L692" t="str">
            <v>HD</v>
          </cell>
          <cell r="M692" t="str">
            <v>x</v>
          </cell>
          <cell r="N692" t="e">
            <v>#N/A</v>
          </cell>
          <cell r="O692" t="str">
            <v>Spin-on Fuel Water Separator Filter</v>
          </cell>
        </row>
        <row r="693">
          <cell r="K693" t="str">
            <v>LFH1702</v>
          </cell>
          <cell r="L693" t="str">
            <v>HD</v>
          </cell>
          <cell r="M693" t="str">
            <v>x</v>
          </cell>
          <cell r="N693" t="e">
            <v>#N/A</v>
          </cell>
          <cell r="O693" t="str">
            <v>Spin-on Hydraulic Filter</v>
          </cell>
        </row>
        <row r="694">
          <cell r="K694" t="str">
            <v>LAF71</v>
          </cell>
          <cell r="L694" t="str">
            <v>HD</v>
          </cell>
          <cell r="M694" t="str">
            <v>x</v>
          </cell>
          <cell r="N694" t="e">
            <v>#N/A</v>
          </cell>
          <cell r="O694" t="str">
            <v>HD Metal-End Air Filter</v>
          </cell>
        </row>
        <row r="695">
          <cell r="K695" t="str">
            <v>L552F</v>
          </cell>
          <cell r="L695" t="str">
            <v>HD</v>
          </cell>
          <cell r="M695" t="str">
            <v>x</v>
          </cell>
          <cell r="N695" t="e">
            <v>#N/A</v>
          </cell>
          <cell r="O695" t="str">
            <v>Cartridge Fuel Filter</v>
          </cell>
        </row>
        <row r="696">
          <cell r="K696" t="str">
            <v>750CT</v>
          </cell>
          <cell r="L696" t="str">
            <v>HD</v>
          </cell>
          <cell r="M696" t="str">
            <v>x</v>
          </cell>
          <cell r="N696" t="e">
            <v>#N/A</v>
          </cell>
          <cell r="O696" t="str">
            <v>Diesel Unit Universal Mount Filter 750-CT</v>
          </cell>
        </row>
        <row r="697">
          <cell r="K697" t="str">
            <v>LFP5214</v>
          </cell>
          <cell r="L697" t="str">
            <v>HD</v>
          </cell>
          <cell r="M697" t="str">
            <v>x</v>
          </cell>
          <cell r="N697" t="e">
            <v>#N/A</v>
          </cell>
          <cell r="O697" t="str">
            <v>Spin-on Oil Filter</v>
          </cell>
        </row>
        <row r="698">
          <cell r="K698" t="str">
            <v>LH4589G</v>
          </cell>
          <cell r="L698" t="str">
            <v>HD</v>
          </cell>
          <cell r="M698" t="str">
            <v>x</v>
          </cell>
          <cell r="N698" t="e">
            <v>#N/A</v>
          </cell>
          <cell r="O698" t="str">
            <v>Cartridge Power Steering (Hydraulic) Filter</v>
          </cell>
        </row>
        <row r="699">
          <cell r="K699" t="str">
            <v>LH5001</v>
          </cell>
          <cell r="L699" t="str">
            <v>HD</v>
          </cell>
          <cell r="M699" t="str">
            <v>x</v>
          </cell>
          <cell r="N699" t="e">
            <v>#N/A</v>
          </cell>
          <cell r="O699" t="str">
            <v>Cartridge Hydraulic Filter</v>
          </cell>
        </row>
        <row r="700">
          <cell r="K700" t="str">
            <v>LFP3712</v>
          </cell>
          <cell r="L700" t="str">
            <v>HD</v>
          </cell>
          <cell r="M700" t="str">
            <v>x</v>
          </cell>
          <cell r="N700" t="e">
            <v>#N/A</v>
          </cell>
          <cell r="O700" t="str">
            <v>Spin-on Oil Filter</v>
          </cell>
        </row>
        <row r="701">
          <cell r="K701" t="str">
            <v>LH1145</v>
          </cell>
          <cell r="L701" t="str">
            <v>HD</v>
          </cell>
          <cell r="M701" t="str">
            <v>x</v>
          </cell>
          <cell r="N701" t="e">
            <v>#N/A</v>
          </cell>
          <cell r="O701" t="str">
            <v>Cartridge Power Steering (Hydraulic) Filter</v>
          </cell>
        </row>
        <row r="702">
          <cell r="K702" t="str">
            <v>LFF3581</v>
          </cell>
          <cell r="L702" t="str">
            <v>HD</v>
          </cell>
          <cell r="M702" t="str">
            <v>x</v>
          </cell>
          <cell r="N702" t="e">
            <v>#N/A</v>
          </cell>
          <cell r="O702" t="str">
            <v>Spin-on Fuel Water Separator Filter</v>
          </cell>
        </row>
        <row r="703">
          <cell r="K703" t="str">
            <v>LFF9737</v>
          </cell>
          <cell r="L703" t="str">
            <v>HD</v>
          </cell>
          <cell r="M703" t="str">
            <v>x</v>
          </cell>
          <cell r="N703" t="e">
            <v>#N/A</v>
          </cell>
          <cell r="O703" t="str">
            <v>Bowl Style Fuel Water Separator Filter</v>
          </cell>
        </row>
        <row r="704">
          <cell r="K704" t="str">
            <v>LMB900</v>
          </cell>
          <cell r="L704" t="str">
            <v>HD</v>
          </cell>
          <cell r="M704" t="str">
            <v>x</v>
          </cell>
          <cell r="N704" t="str">
            <v>LMB900</v>
          </cell>
          <cell r="O704" t="str">
            <v>Mounting Base for LFF5, LFF5D, LFF1000, LFF1001, LFF1003, LFF2749, LFF5823B, LFF8000, LFF8707, and LFP440F. 1x14 mounting threads and 7/8 x 14 inlet and outlet.</v>
          </cell>
        </row>
        <row r="705">
          <cell r="K705" t="str">
            <v>LFP2248</v>
          </cell>
          <cell r="L705" t="str">
            <v>HD</v>
          </cell>
          <cell r="M705" t="str">
            <v>x</v>
          </cell>
          <cell r="N705" t="e">
            <v>#N/A</v>
          </cell>
          <cell r="O705" t="str">
            <v>Spin-on Oil Filter</v>
          </cell>
        </row>
        <row r="706">
          <cell r="K706" t="str">
            <v>LAF9000</v>
          </cell>
          <cell r="L706" t="str">
            <v>HD</v>
          </cell>
          <cell r="M706" t="str">
            <v>x</v>
          </cell>
          <cell r="N706" t="e">
            <v>#N/A</v>
          </cell>
          <cell r="O706" t="str">
            <v>HD Metal-End Air Filter</v>
          </cell>
        </row>
        <row r="707">
          <cell r="K707" t="str">
            <v>LP50910</v>
          </cell>
          <cell r="L707" t="str">
            <v>HD</v>
          </cell>
          <cell r="M707" t="str">
            <v>x</v>
          </cell>
          <cell r="N707" t="e">
            <v>#N/A</v>
          </cell>
          <cell r="O707" t="str">
            <v>Cartridge Hydraulic Filter</v>
          </cell>
        </row>
        <row r="708">
          <cell r="K708" t="str">
            <v>LFF9897</v>
          </cell>
          <cell r="L708" t="str">
            <v>HD</v>
          </cell>
          <cell r="M708" t="str">
            <v>x</v>
          </cell>
          <cell r="N708" t="e">
            <v>#N/A</v>
          </cell>
          <cell r="O708" t="str">
            <v>HD Fuel Spin-on Filter</v>
          </cell>
        </row>
        <row r="709">
          <cell r="K709" t="str">
            <v>L3103F</v>
          </cell>
          <cell r="L709" t="str">
            <v>HD</v>
          </cell>
          <cell r="M709" t="str">
            <v>x</v>
          </cell>
          <cell r="N709" t="e">
            <v>#N/A</v>
          </cell>
          <cell r="O709" t="str">
            <v>Snap-lock Fuel/Water Separator Filter</v>
          </cell>
        </row>
        <row r="710">
          <cell r="K710" t="str">
            <v>FP1127F</v>
          </cell>
          <cell r="L710" t="str">
            <v>HD</v>
          </cell>
          <cell r="M710" t="str">
            <v>x</v>
          </cell>
          <cell r="N710" t="e">
            <v>#N/A</v>
          </cell>
          <cell r="O710" t="str">
            <v>Spin-on Fuel Filter</v>
          </cell>
        </row>
        <row r="711">
          <cell r="K711" t="str">
            <v>LFF5824B</v>
          </cell>
          <cell r="L711" t="str">
            <v>HD</v>
          </cell>
          <cell r="M711" t="str">
            <v>x</v>
          </cell>
          <cell r="N711" t="e">
            <v>#N/A</v>
          </cell>
          <cell r="O711" t="str">
            <v>Bowl Style Fuel Water Separator Filter</v>
          </cell>
        </row>
        <row r="712">
          <cell r="K712" t="str">
            <v>LFF3554</v>
          </cell>
          <cell r="L712" t="str">
            <v>HD</v>
          </cell>
          <cell r="M712" t="str">
            <v>x</v>
          </cell>
          <cell r="N712" t="e">
            <v>#N/A</v>
          </cell>
          <cell r="O712" t="str">
            <v>Spin-on Fuel Filter</v>
          </cell>
        </row>
        <row r="713">
          <cell r="K713" t="str">
            <v>LFH4471</v>
          </cell>
          <cell r="L713" t="str">
            <v>HD</v>
          </cell>
          <cell r="M713" t="str">
            <v>x</v>
          </cell>
          <cell r="N713" t="e">
            <v>#N/A</v>
          </cell>
          <cell r="O713" t="str">
            <v>Spin-on Hydraulic Filter</v>
          </cell>
        </row>
        <row r="714">
          <cell r="K714" t="str">
            <v>LFF7689</v>
          </cell>
          <cell r="L714" t="str">
            <v>HD</v>
          </cell>
          <cell r="M714" t="str">
            <v>x</v>
          </cell>
          <cell r="N714" t="e">
            <v>#N/A</v>
          </cell>
          <cell r="O714" t="str">
            <v>Spin-on Fuel Water Separator Filter</v>
          </cell>
        </row>
        <row r="715">
          <cell r="K715" t="str">
            <v>LK109M</v>
          </cell>
          <cell r="L715" t="str">
            <v>HD</v>
          </cell>
          <cell r="M715" t="str">
            <v>x</v>
          </cell>
          <cell r="N715" t="e">
            <v>#N/A</v>
          </cell>
          <cell r="O715" t="str">
            <v>Mack Engine Maintenance Kit</v>
          </cell>
        </row>
        <row r="716">
          <cell r="K716">
            <v>3566</v>
          </cell>
          <cell r="L716" t="str">
            <v>HD</v>
          </cell>
          <cell r="M716" t="str">
            <v>x</v>
          </cell>
          <cell r="N716" t="e">
            <v>#N/A</v>
          </cell>
          <cell r="O716" t="str">
            <v>Clamping Ring Assembly/500-C, 750-C, CT, 2C, 3C</v>
          </cell>
        </row>
        <row r="717">
          <cell r="K717" t="str">
            <v>LFP9025XL</v>
          </cell>
          <cell r="L717" t="str">
            <v>HD</v>
          </cell>
          <cell r="M717" t="str">
            <v>x</v>
          </cell>
          <cell r="N717" t="e">
            <v>#N/A</v>
          </cell>
          <cell r="O717" t="str">
            <v>Extended Life Spin-on Oil Filter</v>
          </cell>
        </row>
        <row r="718">
          <cell r="K718" t="str">
            <v>L274F</v>
          </cell>
          <cell r="L718" t="str">
            <v>HD</v>
          </cell>
          <cell r="M718" t="str">
            <v>x</v>
          </cell>
          <cell r="N718" t="e">
            <v>#N/A</v>
          </cell>
          <cell r="O718" t="str">
            <v>Cartridge Fuel Filter</v>
          </cell>
        </row>
        <row r="719">
          <cell r="K719" t="str">
            <v>LFH4428</v>
          </cell>
          <cell r="L719" t="str">
            <v>HD</v>
          </cell>
          <cell r="M719" t="str">
            <v>x</v>
          </cell>
          <cell r="N719" t="e">
            <v>#N/A</v>
          </cell>
          <cell r="O719" t="str">
            <v>Spin-on Hydraulic Filter</v>
          </cell>
        </row>
        <row r="720">
          <cell r="K720" t="str">
            <v>LFF8255</v>
          </cell>
          <cell r="L720" t="str">
            <v>HD</v>
          </cell>
          <cell r="M720" t="str">
            <v>x</v>
          </cell>
          <cell r="N720" t="e">
            <v>#N/A</v>
          </cell>
          <cell r="O720" t="str">
            <v>Spin-on Fuel Water Separator Filter</v>
          </cell>
        </row>
        <row r="721">
          <cell r="K721" t="str">
            <v>LAF1833</v>
          </cell>
          <cell r="L721" t="str">
            <v>HD</v>
          </cell>
          <cell r="M721" t="str">
            <v>x</v>
          </cell>
          <cell r="N721" t="str">
            <v>LAF1833</v>
          </cell>
          <cell r="O721" t="str">
            <v>Disposible Housing Air Filter</v>
          </cell>
        </row>
        <row r="722">
          <cell r="K722" t="str">
            <v>LFH8705</v>
          </cell>
          <cell r="L722" t="str">
            <v>HD</v>
          </cell>
          <cell r="M722" t="str">
            <v>x</v>
          </cell>
          <cell r="N722" t="e">
            <v>#N/A</v>
          </cell>
          <cell r="O722" t="str">
            <v>Spin-on Hydraulic Filter</v>
          </cell>
        </row>
        <row r="723">
          <cell r="K723" t="str">
            <v>LAF8097</v>
          </cell>
          <cell r="L723" t="str">
            <v>HD</v>
          </cell>
          <cell r="M723" t="str">
            <v>x</v>
          </cell>
          <cell r="N723" t="e">
            <v>#N/A</v>
          </cell>
          <cell r="O723" t="str">
            <v>Round Air Filter</v>
          </cell>
        </row>
        <row r="724">
          <cell r="K724" t="str">
            <v>LFF937</v>
          </cell>
          <cell r="L724" t="str">
            <v>HD</v>
          </cell>
          <cell r="M724" t="str">
            <v>x</v>
          </cell>
          <cell r="N724" t="e">
            <v>#N/A</v>
          </cell>
          <cell r="O724" t="str">
            <v>Spin-on Fuel Filter</v>
          </cell>
        </row>
        <row r="725">
          <cell r="K725" t="str">
            <v>LAF5568</v>
          </cell>
          <cell r="L725" t="str">
            <v>HD</v>
          </cell>
          <cell r="M725" t="str">
            <v>x</v>
          </cell>
          <cell r="N725" t="e">
            <v>#N/A</v>
          </cell>
          <cell r="O725" t="str">
            <v>Radial Seal Outer Air Filter</v>
          </cell>
        </row>
        <row r="726">
          <cell r="K726" t="str">
            <v>LAF9332</v>
          </cell>
          <cell r="L726" t="str">
            <v>HD</v>
          </cell>
          <cell r="M726" t="str">
            <v>x</v>
          </cell>
          <cell r="N726" t="e">
            <v>#N/A</v>
          </cell>
          <cell r="O726" t="str">
            <v>Radial Seal Inner Air Filter</v>
          </cell>
        </row>
        <row r="727">
          <cell r="K727" t="str">
            <v>LAF4499</v>
          </cell>
          <cell r="L727" t="str">
            <v>HD</v>
          </cell>
          <cell r="M727" t="str">
            <v>x</v>
          </cell>
          <cell r="N727" t="e">
            <v>#N/A</v>
          </cell>
          <cell r="O727" t="str">
            <v>Radial Seal Outer Air Filter</v>
          </cell>
        </row>
        <row r="728">
          <cell r="K728" t="str">
            <v>LAF8668</v>
          </cell>
          <cell r="L728" t="str">
            <v>HD</v>
          </cell>
          <cell r="M728" t="str">
            <v>x</v>
          </cell>
          <cell r="N728" t="e">
            <v>#N/A</v>
          </cell>
          <cell r="O728" t="str">
            <v>Finned Vane Air Filter</v>
          </cell>
        </row>
        <row r="729">
          <cell r="K729" t="str">
            <v>LFF5226</v>
          </cell>
          <cell r="L729" t="str">
            <v>HD</v>
          </cell>
          <cell r="M729" t="str">
            <v>x</v>
          </cell>
          <cell r="N729" t="e">
            <v>#N/A</v>
          </cell>
          <cell r="O729" t="str">
            <v>Cartridge Fuel Filter</v>
          </cell>
        </row>
        <row r="730">
          <cell r="K730" t="str">
            <v>LAF5761</v>
          </cell>
          <cell r="L730" t="str">
            <v>HD</v>
          </cell>
          <cell r="M730" t="str">
            <v>x</v>
          </cell>
          <cell r="N730" t="e">
            <v>#N/A</v>
          </cell>
          <cell r="O730" t="str">
            <v>Radial Seal Outer Air Filter</v>
          </cell>
        </row>
        <row r="731">
          <cell r="K731" t="str">
            <v>LAF1725</v>
          </cell>
          <cell r="L731" t="str">
            <v>HD</v>
          </cell>
          <cell r="M731" t="str">
            <v>x</v>
          </cell>
          <cell r="N731" t="e">
            <v>#N/A</v>
          </cell>
          <cell r="O731" t="str">
            <v>Round Inner Air Filter</v>
          </cell>
        </row>
        <row r="732">
          <cell r="K732" t="str">
            <v>LAF263HD</v>
          </cell>
          <cell r="L732" t="str">
            <v>HD</v>
          </cell>
          <cell r="M732" t="str">
            <v>x</v>
          </cell>
          <cell r="N732" t="e">
            <v>#N/A</v>
          </cell>
          <cell r="O732" t="str">
            <v>HD Metal-End Air Filter</v>
          </cell>
        </row>
        <row r="733">
          <cell r="K733" t="str">
            <v>LFH8324</v>
          </cell>
          <cell r="L733" t="str">
            <v>HD</v>
          </cell>
          <cell r="M733" t="str">
            <v>x</v>
          </cell>
          <cell r="N733" t="str">
            <v>LFH8324</v>
          </cell>
          <cell r="O733" t="str">
            <v>Spin-on Hydraulic Filter</v>
          </cell>
        </row>
        <row r="734">
          <cell r="K734" t="str">
            <v>LH5843</v>
          </cell>
          <cell r="L734" t="str">
            <v>HD</v>
          </cell>
          <cell r="M734" t="str">
            <v>x</v>
          </cell>
          <cell r="N734" t="e">
            <v>#N/A</v>
          </cell>
          <cell r="O734" t="str">
            <v>Cartridge Hydraulic Filter</v>
          </cell>
        </row>
        <row r="735">
          <cell r="K735" t="str">
            <v>LAF3947</v>
          </cell>
          <cell r="L735" t="str">
            <v>HD</v>
          </cell>
          <cell r="M735" t="str">
            <v>x</v>
          </cell>
          <cell r="N735" t="e">
            <v>#N/A</v>
          </cell>
          <cell r="O735" t="str">
            <v>Radial Seal Outer Air Filter</v>
          </cell>
        </row>
        <row r="736">
          <cell r="K736" t="str">
            <v>LFH8726</v>
          </cell>
          <cell r="L736" t="str">
            <v>HD</v>
          </cell>
          <cell r="M736" t="str">
            <v>x</v>
          </cell>
          <cell r="N736" t="str">
            <v>LFH8726</v>
          </cell>
          <cell r="O736" t="str">
            <v>Spin-on Hydraulic Filter</v>
          </cell>
        </row>
        <row r="737">
          <cell r="K737" t="str">
            <v>LAF8686</v>
          </cell>
          <cell r="L737" t="str">
            <v>HD</v>
          </cell>
          <cell r="M737" t="str">
            <v>x</v>
          </cell>
          <cell r="N737" t="e">
            <v>#N/A</v>
          </cell>
          <cell r="O737" t="str">
            <v>HD Metal-End Air Filter-Inner</v>
          </cell>
        </row>
        <row r="738">
          <cell r="K738" t="str">
            <v>LFF5956</v>
          </cell>
          <cell r="L738" t="str">
            <v>HD</v>
          </cell>
          <cell r="M738" t="str">
            <v>x</v>
          </cell>
          <cell r="N738" t="e">
            <v>#N/A</v>
          </cell>
          <cell r="O738" t="str">
            <v>Spin-on Fuel Filter</v>
          </cell>
        </row>
        <row r="739">
          <cell r="K739" t="str">
            <v>LP2307</v>
          </cell>
          <cell r="L739" t="str">
            <v>HD</v>
          </cell>
          <cell r="M739" t="str">
            <v>x</v>
          </cell>
          <cell r="N739" t="e">
            <v>#N/A</v>
          </cell>
          <cell r="O739" t="str">
            <v>Cartridge Hydraulic Filter</v>
          </cell>
        </row>
        <row r="740">
          <cell r="K740" t="str">
            <v>LAF9155</v>
          </cell>
          <cell r="L740" t="str">
            <v>HD</v>
          </cell>
          <cell r="M740" t="str">
            <v>x</v>
          </cell>
          <cell r="N740" t="e">
            <v>#N/A</v>
          </cell>
          <cell r="O740" t="str">
            <v>HD Metal-End Air Filter</v>
          </cell>
        </row>
        <row r="741">
          <cell r="K741" t="str">
            <v>LAF4601</v>
          </cell>
          <cell r="L741" t="str">
            <v>HD</v>
          </cell>
          <cell r="M741" t="str">
            <v>x</v>
          </cell>
          <cell r="N741" t="e">
            <v>#N/A</v>
          </cell>
          <cell r="O741" t="str">
            <v>Radial Seal Outer Air Filter</v>
          </cell>
        </row>
        <row r="742">
          <cell r="K742" t="str">
            <v>LFF1537</v>
          </cell>
          <cell r="L742" t="str">
            <v>HD</v>
          </cell>
          <cell r="M742" t="str">
            <v>x</v>
          </cell>
          <cell r="N742" t="e">
            <v>#N/A</v>
          </cell>
          <cell r="O742" t="str">
            <v>Spin-on Fuel Filter</v>
          </cell>
        </row>
        <row r="743">
          <cell r="K743" t="str">
            <v>LFP950</v>
          </cell>
          <cell r="L743" t="str">
            <v>HD</v>
          </cell>
          <cell r="M743" t="str">
            <v>x</v>
          </cell>
          <cell r="N743" t="e">
            <v>#N/A</v>
          </cell>
          <cell r="O743" t="str">
            <v>Spin-on Oil Filter</v>
          </cell>
        </row>
        <row r="744">
          <cell r="K744" t="str">
            <v>LFF5423</v>
          </cell>
          <cell r="L744" t="str">
            <v>HD</v>
          </cell>
          <cell r="M744" t="str">
            <v>x</v>
          </cell>
          <cell r="N744" t="e">
            <v>#N/A</v>
          </cell>
          <cell r="O744" t="str">
            <v>Spin-on Fuel Filter</v>
          </cell>
        </row>
        <row r="745">
          <cell r="K745" t="str">
            <v>LFF6963</v>
          </cell>
          <cell r="L745" t="str">
            <v>HD</v>
          </cell>
          <cell r="M745" t="str">
            <v>x</v>
          </cell>
          <cell r="N745" t="e">
            <v>#N/A</v>
          </cell>
          <cell r="O745" t="str">
            <v>Spin-on Fuel Filter</v>
          </cell>
        </row>
        <row r="746">
          <cell r="K746" t="str">
            <v>LAF8002</v>
          </cell>
          <cell r="L746" t="str">
            <v>HD</v>
          </cell>
          <cell r="M746" t="str">
            <v>x</v>
          </cell>
          <cell r="N746" t="e">
            <v>#N/A</v>
          </cell>
          <cell r="O746" t="str">
            <v>Disposible Housing Air Filter</v>
          </cell>
        </row>
        <row r="747">
          <cell r="K747" t="str">
            <v>LH8755</v>
          </cell>
          <cell r="L747" t="str">
            <v>HD</v>
          </cell>
          <cell r="M747" t="str">
            <v>x</v>
          </cell>
          <cell r="N747" t="e">
            <v>#N/A</v>
          </cell>
          <cell r="O747" t="str">
            <v>Spin-on Hydraulic Filter</v>
          </cell>
        </row>
        <row r="748">
          <cell r="K748" t="str">
            <v>LFH4933</v>
          </cell>
          <cell r="L748" t="str">
            <v>HD</v>
          </cell>
          <cell r="M748" t="str">
            <v>x</v>
          </cell>
          <cell r="N748" t="e">
            <v>#N/A</v>
          </cell>
          <cell r="O748" t="str">
            <v>Spin-on Hydraulic Filter</v>
          </cell>
        </row>
        <row r="749">
          <cell r="K749" t="str">
            <v>PH710</v>
          </cell>
          <cell r="L749" t="str">
            <v>HD</v>
          </cell>
          <cell r="N749" t="e">
            <v>#N/A</v>
          </cell>
          <cell r="O749" t="str">
            <v>Spin-on Oil Filter</v>
          </cell>
        </row>
        <row r="750">
          <cell r="K750" t="str">
            <v>LAF6125</v>
          </cell>
          <cell r="L750" t="str">
            <v>HD</v>
          </cell>
          <cell r="M750" t="str">
            <v>x</v>
          </cell>
          <cell r="N750" t="e">
            <v>#N/A</v>
          </cell>
          <cell r="O750" t="str">
            <v>Radial Seal Inner Air Filter</v>
          </cell>
        </row>
        <row r="751">
          <cell r="K751" t="str">
            <v>LFH8294</v>
          </cell>
          <cell r="L751" t="str">
            <v>HD</v>
          </cell>
          <cell r="M751" t="str">
            <v>x</v>
          </cell>
          <cell r="N751" t="e">
            <v>#N/A</v>
          </cell>
          <cell r="O751" t="str">
            <v>Spin-on Hydraulic Filter</v>
          </cell>
        </row>
        <row r="752">
          <cell r="K752" t="str">
            <v>LH5049</v>
          </cell>
          <cell r="L752" t="str">
            <v>HD</v>
          </cell>
          <cell r="M752" t="str">
            <v>x</v>
          </cell>
          <cell r="N752" t="e">
            <v>#N/A</v>
          </cell>
          <cell r="O752" t="str">
            <v>Cartridge Hydraulic Filter</v>
          </cell>
        </row>
        <row r="753">
          <cell r="K753" t="str">
            <v>LAF3535A</v>
          </cell>
          <cell r="L753" t="str">
            <v>HD</v>
          </cell>
          <cell r="M753" t="str">
            <v>x</v>
          </cell>
          <cell r="N753" t="e">
            <v>#N/A</v>
          </cell>
          <cell r="O753" t="str">
            <v>HD Metal-End Air Filter</v>
          </cell>
        </row>
        <row r="754">
          <cell r="K754" t="str">
            <v>LAF120A</v>
          </cell>
          <cell r="L754" t="str">
            <v>HD</v>
          </cell>
          <cell r="M754" t="str">
            <v>x</v>
          </cell>
          <cell r="N754" t="e">
            <v>#N/A</v>
          </cell>
          <cell r="O754" t="str">
            <v>HD Metal-End Air Filter</v>
          </cell>
        </row>
        <row r="755">
          <cell r="K755" t="str">
            <v>LFH22007</v>
          </cell>
          <cell r="L755" t="str">
            <v>HD</v>
          </cell>
          <cell r="M755" t="str">
            <v>x</v>
          </cell>
          <cell r="N755" t="e">
            <v>#N/A</v>
          </cell>
          <cell r="O755" t="str">
            <v>Spin-on Hydraulic Filter</v>
          </cell>
        </row>
        <row r="756">
          <cell r="K756" t="str">
            <v>LFF3257</v>
          </cell>
          <cell r="L756" t="str">
            <v>HD</v>
          </cell>
          <cell r="M756" t="str">
            <v>x</v>
          </cell>
          <cell r="N756" t="e">
            <v>#N/A</v>
          </cell>
          <cell r="O756" t="str">
            <v>Spin-on Fuel Filter</v>
          </cell>
        </row>
        <row r="757">
          <cell r="K757" t="str">
            <v>LFP3050</v>
          </cell>
          <cell r="L757" t="str">
            <v>HD</v>
          </cell>
          <cell r="M757" t="str">
            <v>x</v>
          </cell>
          <cell r="N757" t="e">
            <v>#N/A</v>
          </cell>
          <cell r="O757" t="str">
            <v>Spin-on Oil Filter</v>
          </cell>
        </row>
        <row r="758">
          <cell r="K758" t="str">
            <v>L3524F</v>
          </cell>
          <cell r="L758" t="str">
            <v>HD</v>
          </cell>
          <cell r="M758" t="str">
            <v>x</v>
          </cell>
          <cell r="N758" t="e">
            <v>#N/A</v>
          </cell>
          <cell r="O758" t="str">
            <v>Cartridge Fuel Filter</v>
          </cell>
        </row>
        <row r="759">
          <cell r="K759" t="str">
            <v>LFF4812D</v>
          </cell>
          <cell r="L759" t="str">
            <v>HD</v>
          </cell>
          <cell r="M759" t="str">
            <v>x</v>
          </cell>
          <cell r="N759" t="e">
            <v>#N/A</v>
          </cell>
          <cell r="O759" t="str">
            <v>Spin-on Fuel Filter</v>
          </cell>
        </row>
        <row r="760">
          <cell r="K760" t="str">
            <v>LAF1840</v>
          </cell>
          <cell r="L760" t="str">
            <v>HD</v>
          </cell>
          <cell r="M760" t="str">
            <v>x</v>
          </cell>
          <cell r="N760" t="e">
            <v>#N/A</v>
          </cell>
          <cell r="O760" t="str">
            <v>HD Metal-End Inner Air Filter</v>
          </cell>
        </row>
        <row r="761">
          <cell r="K761" t="str">
            <v>L2020FN-30</v>
          </cell>
          <cell r="L761" t="str">
            <v>HD</v>
          </cell>
          <cell r="M761" t="str">
            <v>x</v>
          </cell>
          <cell r="N761" t="e">
            <v>#N/A</v>
          </cell>
          <cell r="O761" t="str">
            <v>Cartridge Fuel Water Separator Filter</v>
          </cell>
        </row>
        <row r="762">
          <cell r="K762" t="str">
            <v>LAF9100</v>
          </cell>
          <cell r="L762" t="str">
            <v>HD</v>
          </cell>
          <cell r="M762" t="str">
            <v>x</v>
          </cell>
          <cell r="N762" t="e">
            <v>#N/A</v>
          </cell>
          <cell r="O762" t="str">
            <v>Radial Seal Inner Air Filter</v>
          </cell>
        </row>
        <row r="763">
          <cell r="K763" t="str">
            <v>LFH8329</v>
          </cell>
          <cell r="L763" t="str">
            <v>HD</v>
          </cell>
          <cell r="M763" t="str">
            <v>x</v>
          </cell>
          <cell r="N763" t="e">
            <v>#N/A</v>
          </cell>
          <cell r="O763" t="str">
            <v>Spin-on Hydraulic Filter</v>
          </cell>
        </row>
        <row r="764">
          <cell r="K764" t="str">
            <v>LFP880</v>
          </cell>
          <cell r="L764" t="str">
            <v>HD</v>
          </cell>
          <cell r="M764" t="str">
            <v>x</v>
          </cell>
          <cell r="N764" t="e">
            <v>#N/A</v>
          </cell>
          <cell r="O764" t="str">
            <v>Spin-on Oil Filter</v>
          </cell>
        </row>
        <row r="765">
          <cell r="K765" t="str">
            <v>LFP255F</v>
          </cell>
          <cell r="L765" t="str">
            <v>HD</v>
          </cell>
          <cell r="M765" t="str">
            <v>x</v>
          </cell>
          <cell r="N765" t="e">
            <v>#N/A</v>
          </cell>
          <cell r="O765" t="str">
            <v>Spin-on Fuel Filter</v>
          </cell>
        </row>
        <row r="766">
          <cell r="K766" t="str">
            <v>LFP3411</v>
          </cell>
          <cell r="L766" t="str">
            <v>HD</v>
          </cell>
          <cell r="M766" t="str">
            <v>x</v>
          </cell>
          <cell r="N766" t="e">
            <v>#N/A</v>
          </cell>
          <cell r="O766" t="str">
            <v>Spin-on Oil Filter</v>
          </cell>
        </row>
        <row r="767">
          <cell r="K767" t="str">
            <v>LFH8876</v>
          </cell>
          <cell r="L767" t="str">
            <v>HD</v>
          </cell>
          <cell r="M767" t="str">
            <v>x</v>
          </cell>
          <cell r="N767" t="e">
            <v>#N/A</v>
          </cell>
          <cell r="O767" t="str">
            <v>Spin-on Hydraulic Filter</v>
          </cell>
        </row>
        <row r="768">
          <cell r="K768" t="str">
            <v>LAF8550</v>
          </cell>
          <cell r="L768" t="str">
            <v>HD</v>
          </cell>
          <cell r="M768" t="str">
            <v>x</v>
          </cell>
          <cell r="N768" t="e">
            <v>#N/A</v>
          </cell>
          <cell r="O768" t="str">
            <v>HD Metal-End Air Filter</v>
          </cell>
        </row>
        <row r="769">
          <cell r="K769" t="str">
            <v>LFH4636</v>
          </cell>
          <cell r="L769" t="str">
            <v>HD</v>
          </cell>
          <cell r="M769" t="str">
            <v>x</v>
          </cell>
          <cell r="N769" t="e">
            <v>#N/A</v>
          </cell>
          <cell r="O769" t="str">
            <v>Cartridge hydraulic filter</v>
          </cell>
        </row>
        <row r="770">
          <cell r="K770" t="str">
            <v>LFF4511W</v>
          </cell>
          <cell r="L770" t="str">
            <v>HD</v>
          </cell>
          <cell r="M770" t="str">
            <v>x</v>
          </cell>
          <cell r="N770" t="e">
            <v>#N/A</v>
          </cell>
          <cell r="O770" t="str">
            <v>Fuel Dispensing Filter</v>
          </cell>
        </row>
        <row r="771">
          <cell r="K771" t="str">
            <v>LAF4602</v>
          </cell>
          <cell r="L771" t="str">
            <v>HD</v>
          </cell>
          <cell r="M771" t="str">
            <v>x</v>
          </cell>
          <cell r="N771" t="e">
            <v>#N/A</v>
          </cell>
          <cell r="O771" t="str">
            <v>Radial Seal Inner Air Filter</v>
          </cell>
        </row>
        <row r="772">
          <cell r="K772" t="str">
            <v>LP6061</v>
          </cell>
          <cell r="L772" t="str">
            <v>HD</v>
          </cell>
          <cell r="M772" t="str">
            <v>x</v>
          </cell>
          <cell r="N772" t="e">
            <v>#N/A</v>
          </cell>
          <cell r="O772" t="str">
            <v>Cartridge Oil Filter</v>
          </cell>
        </row>
        <row r="773">
          <cell r="K773" t="str">
            <v>LFH9347</v>
          </cell>
          <cell r="L773" t="str">
            <v>HD</v>
          </cell>
          <cell r="M773" t="str">
            <v>x</v>
          </cell>
          <cell r="N773" t="e">
            <v>#N/A</v>
          </cell>
          <cell r="O773" t="str">
            <v>Spin-on Hydraulic Filter</v>
          </cell>
        </row>
        <row r="774">
          <cell r="K774" t="str">
            <v>L2021F-30</v>
          </cell>
          <cell r="L774" t="str">
            <v>HD</v>
          </cell>
          <cell r="M774" t="str">
            <v>x</v>
          </cell>
          <cell r="N774" t="e">
            <v>#N/A</v>
          </cell>
          <cell r="O774" t="str">
            <v>Cartridge Fuel Filter</v>
          </cell>
        </row>
        <row r="775">
          <cell r="K775" t="str">
            <v>LFH22005</v>
          </cell>
          <cell r="L775" t="str">
            <v>HD</v>
          </cell>
          <cell r="M775" t="str">
            <v>x</v>
          </cell>
          <cell r="N775" t="e">
            <v>#N/A</v>
          </cell>
          <cell r="O775" t="str">
            <v>Spin-on Hydraulic Filter</v>
          </cell>
        </row>
        <row r="776">
          <cell r="K776" t="str">
            <v>LFP9750</v>
          </cell>
          <cell r="L776" t="str">
            <v>HD</v>
          </cell>
          <cell r="M776" t="str">
            <v>x</v>
          </cell>
          <cell r="N776" t="e">
            <v>#N/A</v>
          </cell>
          <cell r="O776" t="str">
            <v>Spin-on Oil Filter</v>
          </cell>
        </row>
        <row r="777">
          <cell r="K777" t="str">
            <v>LAF3814</v>
          </cell>
          <cell r="L777" t="str">
            <v>HD</v>
          </cell>
          <cell r="M777" t="str">
            <v>x</v>
          </cell>
          <cell r="N777" t="e">
            <v>#N/A</v>
          </cell>
          <cell r="O777" t="str">
            <v>Radial Seal Outer Air Filter</v>
          </cell>
        </row>
        <row r="778">
          <cell r="K778" t="str">
            <v>LFF6771SC</v>
          </cell>
          <cell r="L778" t="str">
            <v>HD</v>
          </cell>
          <cell r="M778" t="str">
            <v>x</v>
          </cell>
          <cell r="N778" t="e">
            <v>#N/A</v>
          </cell>
          <cell r="O778" t="str">
            <v>Spin-on Fuel Filter</v>
          </cell>
        </row>
        <row r="779">
          <cell r="K779" t="str">
            <v>LWHB4861</v>
          </cell>
          <cell r="L779" t="str">
            <v>HD</v>
          </cell>
          <cell r="M779" t="str">
            <v>x</v>
          </cell>
          <cell r="N779" t="e">
            <v>#N/A</v>
          </cell>
          <cell r="O779" t="str">
            <v>Coolant Filter Mounting Base with bracket for coolant filters with 11/16" threads.</v>
          </cell>
        </row>
        <row r="780">
          <cell r="K780" t="str">
            <v>LAF6998</v>
          </cell>
          <cell r="L780" t="str">
            <v>HD</v>
          </cell>
          <cell r="M780" t="str">
            <v>x</v>
          </cell>
          <cell r="N780" t="e">
            <v>#N/A</v>
          </cell>
          <cell r="O780" t="str">
            <v>Radial Seal Air Filter (Primary)</v>
          </cell>
        </row>
        <row r="781">
          <cell r="K781" t="str">
            <v>LAF388</v>
          </cell>
          <cell r="L781" t="str">
            <v>HD</v>
          </cell>
          <cell r="M781" t="str">
            <v>x</v>
          </cell>
          <cell r="N781" t="e">
            <v>#N/A</v>
          </cell>
          <cell r="O781" t="str">
            <v>Round Air Filter</v>
          </cell>
        </row>
        <row r="782">
          <cell r="K782" t="str">
            <v>LAF8003</v>
          </cell>
          <cell r="L782" t="str">
            <v>HD</v>
          </cell>
          <cell r="M782" t="str">
            <v>x</v>
          </cell>
          <cell r="N782" t="e">
            <v>#N/A</v>
          </cell>
          <cell r="O782" t="str">
            <v>Disposible Housing Air Filter</v>
          </cell>
        </row>
        <row r="783">
          <cell r="K783" t="str">
            <v>LAF3700</v>
          </cell>
          <cell r="L783" t="str">
            <v>HD</v>
          </cell>
          <cell r="M783" t="str">
            <v>x</v>
          </cell>
          <cell r="N783" t="e">
            <v>#N/A</v>
          </cell>
          <cell r="O783" t="str">
            <v>Cabin Air Filter</v>
          </cell>
        </row>
        <row r="784">
          <cell r="K784" t="str">
            <v>LAF4502</v>
          </cell>
          <cell r="L784" t="str">
            <v>HD</v>
          </cell>
          <cell r="M784" t="str">
            <v>x</v>
          </cell>
          <cell r="N784" t="e">
            <v>#N/A</v>
          </cell>
          <cell r="O784" t="str">
            <v>Radial Seal Inner Air Filter</v>
          </cell>
        </row>
        <row r="785">
          <cell r="K785" t="str">
            <v>LAF1394</v>
          </cell>
          <cell r="L785" t="str">
            <v>HD</v>
          </cell>
          <cell r="M785" t="str">
            <v>x</v>
          </cell>
          <cell r="N785" t="e">
            <v>#N/A</v>
          </cell>
          <cell r="O785" t="str">
            <v>HD Metal-End Air Filter-Inner</v>
          </cell>
        </row>
        <row r="786">
          <cell r="K786" t="str">
            <v>LAF4618</v>
          </cell>
          <cell r="L786" t="str">
            <v>HD</v>
          </cell>
          <cell r="M786" t="str">
            <v>x</v>
          </cell>
          <cell r="N786" t="e">
            <v>#N/A</v>
          </cell>
          <cell r="O786" t="str">
            <v>Radial Seal Outer Air Filter</v>
          </cell>
        </row>
        <row r="787">
          <cell r="K787" t="str">
            <v>LFP5969</v>
          </cell>
          <cell r="L787" t="str">
            <v>HD</v>
          </cell>
          <cell r="M787" t="str">
            <v>x</v>
          </cell>
          <cell r="N787" t="e">
            <v>#N/A</v>
          </cell>
          <cell r="O787" t="str">
            <v>Spin-on Oil Filter</v>
          </cell>
        </row>
        <row r="788">
          <cell r="K788">
            <v>920005</v>
          </cell>
          <cell r="L788" t="str">
            <v>HD</v>
          </cell>
          <cell r="M788" t="str">
            <v>x</v>
          </cell>
          <cell r="N788" t="e">
            <v>#N/A</v>
          </cell>
          <cell r="O788" t="str">
            <v>Lubercool II 5 Gallon Container</v>
          </cell>
        </row>
        <row r="789">
          <cell r="K789" t="str">
            <v>LAF414</v>
          </cell>
          <cell r="L789" t="str">
            <v>HD</v>
          </cell>
          <cell r="M789" t="str">
            <v>x</v>
          </cell>
          <cell r="N789" t="e">
            <v>#N/A</v>
          </cell>
          <cell r="O789" t="str">
            <v>HD Metal-End Air Filter-Inner</v>
          </cell>
        </row>
        <row r="790">
          <cell r="K790" t="str">
            <v>LFP2221</v>
          </cell>
          <cell r="L790" t="str">
            <v>HD</v>
          </cell>
          <cell r="M790" t="str">
            <v>x</v>
          </cell>
          <cell r="N790" t="e">
            <v>#N/A</v>
          </cell>
          <cell r="O790" t="str">
            <v>Spin-on Oil Filter</v>
          </cell>
        </row>
        <row r="791">
          <cell r="K791" t="str">
            <v>PH444</v>
          </cell>
          <cell r="L791" t="str">
            <v>HD</v>
          </cell>
          <cell r="N791" t="e">
            <v>#N/A</v>
          </cell>
          <cell r="O791" t="str">
            <v>Spin-on Oil Filter</v>
          </cell>
        </row>
        <row r="792">
          <cell r="K792" t="str">
            <v>LFF6964</v>
          </cell>
          <cell r="L792" t="str">
            <v>HD</v>
          </cell>
          <cell r="M792" t="str">
            <v>x</v>
          </cell>
          <cell r="N792" t="e">
            <v>#N/A</v>
          </cell>
          <cell r="O792" t="str">
            <v>Spin-on Fuel Filter</v>
          </cell>
        </row>
        <row r="793">
          <cell r="K793" t="str">
            <v>LAF8792</v>
          </cell>
          <cell r="L793" t="str">
            <v>HD</v>
          </cell>
          <cell r="M793" t="str">
            <v>x</v>
          </cell>
          <cell r="N793" t="e">
            <v>#N/A</v>
          </cell>
          <cell r="O793" t="str">
            <v>Flexible Panel Air Filter</v>
          </cell>
        </row>
        <row r="794">
          <cell r="K794" t="str">
            <v>LH4248</v>
          </cell>
          <cell r="L794" t="str">
            <v>HD</v>
          </cell>
          <cell r="M794" t="str">
            <v>x</v>
          </cell>
          <cell r="N794" t="e">
            <v>#N/A</v>
          </cell>
          <cell r="O794" t="str">
            <v>Cartridge Hydraulic Filter</v>
          </cell>
        </row>
        <row r="795">
          <cell r="K795" t="str">
            <v>LAF1826F</v>
          </cell>
          <cell r="L795" t="str">
            <v>HD</v>
          </cell>
          <cell r="M795" t="str">
            <v>x</v>
          </cell>
          <cell r="N795" t="e">
            <v>#N/A</v>
          </cell>
          <cell r="O795" t="str">
            <v>Foam Wrap Air Filter</v>
          </cell>
        </row>
        <row r="796">
          <cell r="K796" t="str">
            <v>LK254M</v>
          </cell>
          <cell r="L796" t="str">
            <v>HD</v>
          </cell>
          <cell r="M796" t="str">
            <v>x</v>
          </cell>
          <cell r="N796" t="e">
            <v>#N/A</v>
          </cell>
          <cell r="O796" t="str">
            <v>Mack Engine Maintenance Kit</v>
          </cell>
        </row>
        <row r="797">
          <cell r="K797" t="str">
            <v>LFP2261</v>
          </cell>
          <cell r="L797" t="str">
            <v>HD</v>
          </cell>
          <cell r="M797" t="str">
            <v>x</v>
          </cell>
          <cell r="N797" t="e">
            <v>#N/A</v>
          </cell>
          <cell r="O797" t="str">
            <v>Spin-on Oil Filter</v>
          </cell>
        </row>
        <row r="798">
          <cell r="K798" t="str">
            <v>LAF1835</v>
          </cell>
          <cell r="L798" t="str">
            <v>HD</v>
          </cell>
          <cell r="M798" t="str">
            <v>x</v>
          </cell>
          <cell r="N798" t="e">
            <v>#N/A</v>
          </cell>
          <cell r="O798" t="str">
            <v>HD Metal-End Inner Air Filter</v>
          </cell>
        </row>
        <row r="799">
          <cell r="K799" t="str">
            <v>LAF8766</v>
          </cell>
          <cell r="L799" t="str">
            <v>HD</v>
          </cell>
          <cell r="M799" t="str">
            <v>x</v>
          </cell>
          <cell r="N799" t="e">
            <v>#N/A</v>
          </cell>
          <cell r="O799" t="str">
            <v>Radial Seal Inner Air Filter</v>
          </cell>
        </row>
        <row r="800">
          <cell r="K800" t="str">
            <v>LFP2234</v>
          </cell>
          <cell r="L800" t="str">
            <v>HD</v>
          </cell>
          <cell r="M800" t="str">
            <v>x</v>
          </cell>
          <cell r="N800" t="e">
            <v>#N/A</v>
          </cell>
          <cell r="O800" t="str">
            <v>Spin-on Oil Filter</v>
          </cell>
        </row>
        <row r="801">
          <cell r="K801" t="str">
            <v>LAF6098</v>
          </cell>
          <cell r="L801" t="str">
            <v>HD</v>
          </cell>
          <cell r="M801" t="str">
            <v>x</v>
          </cell>
          <cell r="N801" t="e">
            <v>#N/A</v>
          </cell>
          <cell r="O801" t="str">
            <v>Radial Seal Outer Air Filter</v>
          </cell>
        </row>
        <row r="802">
          <cell r="K802" t="str">
            <v>LFF6753</v>
          </cell>
          <cell r="L802" t="str">
            <v>HD</v>
          </cell>
          <cell r="M802" t="str">
            <v>x</v>
          </cell>
          <cell r="N802" t="e">
            <v>#N/A</v>
          </cell>
          <cell r="O802" t="str">
            <v>Spin-on Fuel Water Separator Filter</v>
          </cell>
        </row>
        <row r="803">
          <cell r="K803" t="str">
            <v>LFP2253</v>
          </cell>
          <cell r="L803" t="str">
            <v>HD</v>
          </cell>
          <cell r="M803" t="str">
            <v>x</v>
          </cell>
          <cell r="N803" t="e">
            <v>#N/A</v>
          </cell>
          <cell r="O803" t="str">
            <v>Spin-on Oil Filter</v>
          </cell>
        </row>
        <row r="804">
          <cell r="K804" t="str">
            <v>LFH4207</v>
          </cell>
          <cell r="L804" t="str">
            <v>HD</v>
          </cell>
          <cell r="M804" t="str">
            <v>x</v>
          </cell>
          <cell r="N804" t="e">
            <v>#N/A</v>
          </cell>
          <cell r="O804" t="str">
            <v>Spin-on Hydraulic Filter</v>
          </cell>
        </row>
        <row r="805">
          <cell r="K805" t="str">
            <v>FP230F</v>
          </cell>
          <cell r="L805" t="str">
            <v>HD</v>
          </cell>
          <cell r="M805" t="str">
            <v>x</v>
          </cell>
          <cell r="N805" t="e">
            <v>#N/A</v>
          </cell>
          <cell r="O805" t="str">
            <v>Spin-on Fuel Filter</v>
          </cell>
        </row>
        <row r="806">
          <cell r="K806" t="str">
            <v>LFH5015</v>
          </cell>
          <cell r="L806" t="str">
            <v>HD</v>
          </cell>
          <cell r="M806" t="str">
            <v>x</v>
          </cell>
          <cell r="N806" t="str">
            <v>LFH5015</v>
          </cell>
          <cell r="O806" t="str">
            <v>Spin-on Hydraulic Filter</v>
          </cell>
        </row>
        <row r="807">
          <cell r="K807" t="str">
            <v>LAF1038</v>
          </cell>
          <cell r="L807" t="str">
            <v>HD</v>
          </cell>
          <cell r="M807" t="str">
            <v>x</v>
          </cell>
          <cell r="N807" t="e">
            <v>#N/A</v>
          </cell>
          <cell r="O807" t="str">
            <v>Finned Vane Air Filter</v>
          </cell>
        </row>
        <row r="808">
          <cell r="K808" t="str">
            <v>LAF6128</v>
          </cell>
          <cell r="L808" t="str">
            <v>HD</v>
          </cell>
          <cell r="M808" t="str">
            <v>x</v>
          </cell>
          <cell r="N808" t="e">
            <v>#N/A</v>
          </cell>
          <cell r="O808" t="str">
            <v>HD Round Air Filter with Attached Lid</v>
          </cell>
        </row>
        <row r="809">
          <cell r="K809" t="str">
            <v>LAF3884</v>
          </cell>
          <cell r="L809" t="str">
            <v>HD</v>
          </cell>
          <cell r="M809" t="str">
            <v>x</v>
          </cell>
          <cell r="N809" t="e">
            <v>#N/A</v>
          </cell>
          <cell r="O809" t="str">
            <v>Radial Seal Inner Air Filter</v>
          </cell>
        </row>
        <row r="810">
          <cell r="K810" t="str">
            <v>FP889F</v>
          </cell>
          <cell r="L810" t="str">
            <v>HD</v>
          </cell>
          <cell r="M810" t="str">
            <v>x</v>
          </cell>
          <cell r="N810" t="e">
            <v>#N/A</v>
          </cell>
          <cell r="O810" t="str">
            <v>Spin-on Fuel Water Separator Filter</v>
          </cell>
        </row>
        <row r="811">
          <cell r="K811" t="str">
            <v>LFH8595</v>
          </cell>
          <cell r="L811" t="str">
            <v>HD</v>
          </cell>
          <cell r="M811" t="str">
            <v>x</v>
          </cell>
          <cell r="N811" t="str">
            <v>LFH8595</v>
          </cell>
          <cell r="O811" t="str">
            <v>Spin-on Hydraulic Filter</v>
          </cell>
        </row>
        <row r="812">
          <cell r="K812" t="str">
            <v>LAF5024</v>
          </cell>
          <cell r="L812" t="str">
            <v>HD</v>
          </cell>
          <cell r="M812" t="str">
            <v>x</v>
          </cell>
          <cell r="N812" t="str">
            <v>LAF5024</v>
          </cell>
          <cell r="O812" t="str">
            <v>Oval Air Filter</v>
          </cell>
        </row>
        <row r="813">
          <cell r="K813" t="str">
            <v>LAF3699</v>
          </cell>
          <cell r="L813" t="str">
            <v>HD</v>
          </cell>
          <cell r="M813" t="str">
            <v>x</v>
          </cell>
          <cell r="N813" t="e">
            <v>#N/A</v>
          </cell>
          <cell r="O813" t="str">
            <v>Cabin Air Filter</v>
          </cell>
        </row>
        <row r="814">
          <cell r="K814" t="str">
            <v>LH4741</v>
          </cell>
          <cell r="L814" t="str">
            <v>HD</v>
          </cell>
          <cell r="M814" t="str">
            <v>x</v>
          </cell>
          <cell r="N814" t="e">
            <v>#N/A</v>
          </cell>
          <cell r="O814" t="str">
            <v>Cartridge Power Steering (Hydraulic) Filter</v>
          </cell>
        </row>
        <row r="815">
          <cell r="K815" t="str">
            <v>LAF22025</v>
          </cell>
          <cell r="L815" t="str">
            <v>HD</v>
          </cell>
          <cell r="M815" t="str">
            <v>x</v>
          </cell>
          <cell r="N815" t="e">
            <v>#N/A</v>
          </cell>
          <cell r="O815" t="str">
            <v>Oval Air Filter</v>
          </cell>
        </row>
        <row r="816">
          <cell r="K816" t="str">
            <v>LFW6502</v>
          </cell>
          <cell r="L816" t="str">
            <v>HD</v>
          </cell>
          <cell r="M816" t="str">
            <v>x</v>
          </cell>
          <cell r="N816" t="e">
            <v>#N/A</v>
          </cell>
          <cell r="O816" t="str">
            <v>Controll Release Spin-on Coolant Filter</v>
          </cell>
        </row>
        <row r="817">
          <cell r="K817" t="str">
            <v>262F</v>
          </cell>
          <cell r="L817" t="str">
            <v>HD</v>
          </cell>
          <cell r="M817" t="str">
            <v>x</v>
          </cell>
          <cell r="N817" t="e">
            <v>#N/A</v>
          </cell>
          <cell r="O817" t="str">
            <v>Cartridge Fuel Filter</v>
          </cell>
        </row>
        <row r="818">
          <cell r="K818" t="str">
            <v>LP8995</v>
          </cell>
          <cell r="L818" t="str">
            <v>HD</v>
          </cell>
          <cell r="M818" t="str">
            <v>x</v>
          </cell>
          <cell r="N818" t="e">
            <v>#N/A</v>
          </cell>
          <cell r="O818" t="str">
            <v>Cartridge Oil Filter</v>
          </cell>
        </row>
        <row r="819">
          <cell r="K819" t="str">
            <v>LFP7174</v>
          </cell>
          <cell r="L819" t="str">
            <v>HD</v>
          </cell>
          <cell r="M819" t="str">
            <v>x</v>
          </cell>
          <cell r="N819" t="e">
            <v>#N/A</v>
          </cell>
          <cell r="O819" t="str">
            <v>Spin-on Oil Filter</v>
          </cell>
        </row>
        <row r="820">
          <cell r="K820" t="str">
            <v>LFF3550</v>
          </cell>
          <cell r="L820" t="str">
            <v>HD</v>
          </cell>
          <cell r="M820" t="str">
            <v>x</v>
          </cell>
          <cell r="N820" t="e">
            <v>#N/A</v>
          </cell>
          <cell r="O820" t="str">
            <v>Spin-on Fuel Filter</v>
          </cell>
        </row>
        <row r="821">
          <cell r="K821" t="str">
            <v>LAF5429</v>
          </cell>
          <cell r="L821" t="str">
            <v>HD</v>
          </cell>
          <cell r="M821" t="str">
            <v>x</v>
          </cell>
          <cell r="N821" t="e">
            <v>#N/A</v>
          </cell>
          <cell r="O821" t="str">
            <v>Conical Radial Seal Air filter Outer</v>
          </cell>
        </row>
        <row r="822">
          <cell r="K822" t="str">
            <v>LAF4179</v>
          </cell>
          <cell r="L822" t="str">
            <v>HD</v>
          </cell>
          <cell r="M822" t="str">
            <v>x</v>
          </cell>
          <cell r="N822" t="e">
            <v>#N/A</v>
          </cell>
          <cell r="O822" t="str">
            <v>Radial Seal Air Filter (Primary)</v>
          </cell>
        </row>
        <row r="823">
          <cell r="K823" t="str">
            <v>LAF1718</v>
          </cell>
          <cell r="L823" t="str">
            <v>HD</v>
          </cell>
          <cell r="M823" t="str">
            <v>x</v>
          </cell>
          <cell r="N823" t="e">
            <v>#N/A</v>
          </cell>
          <cell r="O823" t="str">
            <v>HD Metal-End Air Filter</v>
          </cell>
        </row>
        <row r="824">
          <cell r="K824" t="str">
            <v>LAF9159</v>
          </cell>
          <cell r="L824" t="str">
            <v>HD</v>
          </cell>
          <cell r="M824" t="str">
            <v>x</v>
          </cell>
          <cell r="N824" t="e">
            <v>#N/A</v>
          </cell>
          <cell r="O824" t="str">
            <v>HD Metal-End Inner Air Filter</v>
          </cell>
        </row>
        <row r="825">
          <cell r="K825" t="str">
            <v>LAF1617</v>
          </cell>
          <cell r="L825" t="str">
            <v>HD</v>
          </cell>
          <cell r="M825" t="str">
            <v>x</v>
          </cell>
          <cell r="N825" t="e">
            <v>#N/A</v>
          </cell>
          <cell r="O825" t="str">
            <v>Oval Air Filter</v>
          </cell>
        </row>
        <row r="826">
          <cell r="K826" t="str">
            <v>LAF689</v>
          </cell>
          <cell r="L826" t="str">
            <v>HD</v>
          </cell>
          <cell r="M826" t="str">
            <v>x</v>
          </cell>
          <cell r="N826" t="e">
            <v>#N/A</v>
          </cell>
          <cell r="O826" t="str">
            <v>HD Metal-End Air Filter</v>
          </cell>
        </row>
        <row r="827">
          <cell r="K827" t="str">
            <v>LAF8634</v>
          </cell>
          <cell r="L827" t="str">
            <v>HD</v>
          </cell>
          <cell r="M827" t="str">
            <v>x</v>
          </cell>
          <cell r="N827" t="e">
            <v>#N/A</v>
          </cell>
          <cell r="O827" t="str">
            <v>HD Metal-End Air Filter</v>
          </cell>
        </row>
        <row r="828">
          <cell r="K828" t="str">
            <v>LK329M</v>
          </cell>
          <cell r="L828" t="str">
            <v>HD</v>
          </cell>
          <cell r="M828" t="str">
            <v>x</v>
          </cell>
          <cell r="N828" t="e">
            <v>#N/A</v>
          </cell>
          <cell r="O828" t="str">
            <v>Mack Engine Maintenance Kit</v>
          </cell>
        </row>
        <row r="829">
          <cell r="K829" t="str">
            <v>LAF4274</v>
          </cell>
          <cell r="L829" t="str">
            <v>HD</v>
          </cell>
          <cell r="M829" t="str">
            <v>x</v>
          </cell>
          <cell r="N829" t="e">
            <v>#N/A</v>
          </cell>
          <cell r="O829" t="str">
            <v>Radial Seal Inner Air Filter</v>
          </cell>
        </row>
        <row r="830">
          <cell r="K830" t="str">
            <v>LAF8780</v>
          </cell>
          <cell r="L830" t="str">
            <v>HD</v>
          </cell>
          <cell r="M830" t="str">
            <v>x</v>
          </cell>
          <cell r="N830" t="str">
            <v>LAF8780</v>
          </cell>
          <cell r="O830" t="str">
            <v>Disposible Housing Air Filter</v>
          </cell>
        </row>
        <row r="831">
          <cell r="K831" t="str">
            <v>LAF66</v>
          </cell>
          <cell r="L831" t="str">
            <v>HD</v>
          </cell>
          <cell r="M831" t="str">
            <v>x</v>
          </cell>
          <cell r="N831" t="e">
            <v>#N/A</v>
          </cell>
          <cell r="O831" t="str">
            <v>HD Metal-End Air Filter</v>
          </cell>
        </row>
        <row r="832">
          <cell r="K832" t="str">
            <v>LAF6099</v>
          </cell>
          <cell r="L832" t="str">
            <v>HD</v>
          </cell>
          <cell r="M832" t="str">
            <v>x</v>
          </cell>
          <cell r="N832" t="str">
            <v>LAF6099</v>
          </cell>
          <cell r="O832" t="str">
            <v>Radial Seal Inner Air Filter</v>
          </cell>
        </row>
        <row r="833">
          <cell r="K833" t="str">
            <v>LAF6907</v>
          </cell>
          <cell r="L833" t="str">
            <v>HD</v>
          </cell>
          <cell r="M833" t="str">
            <v>x</v>
          </cell>
          <cell r="N833" t="e">
            <v>#N/A</v>
          </cell>
          <cell r="O833" t="str">
            <v>Air Filter (Precleaner)</v>
          </cell>
        </row>
        <row r="834">
          <cell r="K834" t="str">
            <v>LFP805</v>
          </cell>
          <cell r="L834" t="str">
            <v>HD</v>
          </cell>
          <cell r="M834" t="str">
            <v>x</v>
          </cell>
          <cell r="N834" t="e">
            <v>#N/A</v>
          </cell>
          <cell r="O834" t="str">
            <v>Spin-on Oil Filter</v>
          </cell>
        </row>
        <row r="835">
          <cell r="K835" t="str">
            <v>LAF1948</v>
          </cell>
          <cell r="L835" t="str">
            <v>HD</v>
          </cell>
          <cell r="M835" t="str">
            <v>x</v>
          </cell>
          <cell r="N835" t="e">
            <v>#N/A</v>
          </cell>
          <cell r="O835" t="str">
            <v>HD Metal-End Air Filter-Inner</v>
          </cell>
        </row>
        <row r="836">
          <cell r="K836" t="str">
            <v>L8706F</v>
          </cell>
          <cell r="L836" t="str">
            <v>HD</v>
          </cell>
          <cell r="O836" t="str">
            <v>Snap-Lock Fuel Filter</v>
          </cell>
        </row>
        <row r="837">
          <cell r="K837" t="str">
            <v>LAF5842</v>
          </cell>
          <cell r="L837" t="str">
            <v>HD</v>
          </cell>
          <cell r="M837" t="str">
            <v>x</v>
          </cell>
          <cell r="N837" t="e">
            <v>#N/A</v>
          </cell>
          <cell r="O837" t="str">
            <v>HD Round Air Filter with Attached Lid</v>
          </cell>
        </row>
        <row r="838">
          <cell r="K838" t="str">
            <v>L3880F</v>
          </cell>
          <cell r="L838" t="str">
            <v>HD</v>
          </cell>
          <cell r="M838" t="str">
            <v>x</v>
          </cell>
          <cell r="N838" t="e">
            <v>#N/A</v>
          </cell>
          <cell r="O838" t="str">
            <v>Snap-Lock Fuel Filter</v>
          </cell>
        </row>
        <row r="839">
          <cell r="K839" t="str">
            <v>LFP8703</v>
          </cell>
          <cell r="L839" t="str">
            <v>HD</v>
          </cell>
          <cell r="M839" t="str">
            <v>x</v>
          </cell>
          <cell r="N839" t="e">
            <v>#N/A</v>
          </cell>
          <cell r="O839" t="str">
            <v>Spin-on Oil Filter</v>
          </cell>
        </row>
        <row r="840">
          <cell r="K840" t="str">
            <v>LAF5022</v>
          </cell>
          <cell r="L840" t="str">
            <v>HD</v>
          </cell>
          <cell r="M840" t="str">
            <v>x</v>
          </cell>
          <cell r="N840" t="e">
            <v>#N/A</v>
          </cell>
          <cell r="O840" t="str">
            <v>Radial Seal Air Filter (Primary)</v>
          </cell>
        </row>
        <row r="841">
          <cell r="K841" t="str">
            <v>LAF4505MXM</v>
          </cell>
          <cell r="L841" t="str">
            <v>HD</v>
          </cell>
          <cell r="M841" t="str">
            <v>x</v>
          </cell>
          <cell r="N841" t="e">
            <v>#N/A</v>
          </cell>
          <cell r="O841" t="str">
            <v>Nano Tech Radial Seal Air Filter</v>
          </cell>
        </row>
        <row r="842">
          <cell r="K842" t="str">
            <v>LH4166</v>
          </cell>
          <cell r="L842" t="str">
            <v>HD</v>
          </cell>
          <cell r="M842" t="str">
            <v>x</v>
          </cell>
          <cell r="N842" t="e">
            <v>#N/A</v>
          </cell>
          <cell r="O842" t="str">
            <v>Cartridge Hydraulic Filter</v>
          </cell>
        </row>
        <row r="843">
          <cell r="K843" t="str">
            <v>LFF8063U</v>
          </cell>
          <cell r="L843" t="str">
            <v>HD</v>
          </cell>
          <cell r="M843" t="str">
            <v>x</v>
          </cell>
          <cell r="N843" t="e">
            <v>#N/A</v>
          </cell>
          <cell r="O843" t="str">
            <v>Bowless Fuel Water Separator Filter</v>
          </cell>
        </row>
        <row r="844">
          <cell r="K844" t="str">
            <v>LK236M</v>
          </cell>
          <cell r="L844" t="str">
            <v>HD</v>
          </cell>
          <cell r="M844" t="str">
            <v>x</v>
          </cell>
          <cell r="N844" t="e">
            <v>#N/A</v>
          </cell>
          <cell r="O844" t="str">
            <v>Mack Engine Maintenance Kit</v>
          </cell>
        </row>
        <row r="845">
          <cell r="K845" t="str">
            <v>CAF24000XL</v>
          </cell>
          <cell r="L845" t="str">
            <v>HD</v>
          </cell>
          <cell r="M845" t="str">
            <v>x</v>
          </cell>
          <cell r="N845" t="e">
            <v>#N/A</v>
          </cell>
          <cell r="O845" t="str">
            <v>Cabin Air Filter (Carbon) Extreme Clean</v>
          </cell>
        </row>
        <row r="846">
          <cell r="K846" t="str">
            <v>CAF24016XL</v>
          </cell>
          <cell r="L846" t="str">
            <v>HD</v>
          </cell>
          <cell r="M846" t="str">
            <v>x</v>
          </cell>
          <cell r="N846" t="e">
            <v>#N/A</v>
          </cell>
          <cell r="O846" t="str">
            <v>Cabin Air Filter (Carbon) Extreme Clean</v>
          </cell>
        </row>
        <row r="847">
          <cell r="K847" t="str">
            <v>LAF8124</v>
          </cell>
          <cell r="L847" t="str">
            <v>HD</v>
          </cell>
          <cell r="M847" t="str">
            <v>x</v>
          </cell>
          <cell r="N847" t="e">
            <v>#N/A</v>
          </cell>
          <cell r="O847" t="str">
            <v>Radial Seal Outer Air Filter</v>
          </cell>
        </row>
        <row r="848">
          <cell r="K848" t="str">
            <v>LAF1844</v>
          </cell>
          <cell r="L848" t="str">
            <v>HD</v>
          </cell>
          <cell r="M848" t="str">
            <v>x</v>
          </cell>
          <cell r="N848" t="e">
            <v>#N/A</v>
          </cell>
          <cell r="O848" t="str">
            <v>Disposible Housing Air Filter</v>
          </cell>
        </row>
        <row r="849">
          <cell r="K849" t="str">
            <v>LFH22009</v>
          </cell>
          <cell r="L849" t="str">
            <v>HD</v>
          </cell>
          <cell r="M849" t="str">
            <v>x</v>
          </cell>
          <cell r="N849" t="e">
            <v>#N/A</v>
          </cell>
          <cell r="O849" t="str">
            <v>Spin-on Hydraulic Filter</v>
          </cell>
        </row>
        <row r="850">
          <cell r="K850" t="str">
            <v>LAF6122</v>
          </cell>
          <cell r="L850" t="str">
            <v>HD</v>
          </cell>
          <cell r="M850" t="str">
            <v>x</v>
          </cell>
          <cell r="N850" t="e">
            <v>#N/A</v>
          </cell>
          <cell r="O850" t="str">
            <v>Corrugated Media Air Filter</v>
          </cell>
        </row>
        <row r="851">
          <cell r="K851" t="str">
            <v>LH4932</v>
          </cell>
          <cell r="L851" t="str">
            <v>HD</v>
          </cell>
          <cell r="M851" t="str">
            <v>x</v>
          </cell>
          <cell r="N851" t="e">
            <v>#N/A</v>
          </cell>
          <cell r="O851" t="str">
            <v>Cartridge Hydraulic Filter</v>
          </cell>
        </row>
        <row r="852">
          <cell r="K852" t="str">
            <v>LAF5069</v>
          </cell>
          <cell r="L852" t="str">
            <v>HD</v>
          </cell>
          <cell r="M852" t="str">
            <v>x</v>
          </cell>
          <cell r="N852" t="e">
            <v>#N/A</v>
          </cell>
          <cell r="O852" t="str">
            <v>HD Round Air Filter with Attached Boot</v>
          </cell>
        </row>
        <row r="853">
          <cell r="K853" t="str">
            <v>L8138F</v>
          </cell>
          <cell r="L853" t="str">
            <v>HD</v>
          </cell>
          <cell r="M853" t="str">
            <v>x</v>
          </cell>
          <cell r="N853" t="e">
            <v>#N/A</v>
          </cell>
          <cell r="O853" t="str">
            <v>Cartridge Fuel Filter</v>
          </cell>
        </row>
        <row r="854">
          <cell r="K854" t="str">
            <v>LFH22041</v>
          </cell>
          <cell r="L854" t="str">
            <v>HD</v>
          </cell>
          <cell r="M854" t="str">
            <v>x</v>
          </cell>
          <cell r="N854" t="e">
            <v>#N/A</v>
          </cell>
          <cell r="O854" t="str">
            <v>Spin-on Hydraulic Filter</v>
          </cell>
        </row>
        <row r="855">
          <cell r="K855" t="str">
            <v>LFH8197</v>
          </cell>
          <cell r="L855" t="str">
            <v>HD</v>
          </cell>
          <cell r="M855" t="str">
            <v>x</v>
          </cell>
          <cell r="N855" t="e">
            <v>#N/A</v>
          </cell>
          <cell r="O855" t="str">
            <v>Spin-on Hydraulic Filter</v>
          </cell>
        </row>
        <row r="856">
          <cell r="K856" t="str">
            <v>LAF8089</v>
          </cell>
          <cell r="L856" t="str">
            <v>HD</v>
          </cell>
          <cell r="M856" t="str">
            <v>x</v>
          </cell>
          <cell r="N856" t="e">
            <v>#N/A</v>
          </cell>
          <cell r="O856" t="str">
            <v>Oval Air Filter</v>
          </cell>
        </row>
        <row r="857">
          <cell r="K857" t="str">
            <v>LAF1921</v>
          </cell>
          <cell r="L857" t="str">
            <v>HD</v>
          </cell>
          <cell r="M857" t="str">
            <v>x</v>
          </cell>
          <cell r="N857" t="e">
            <v>#N/A</v>
          </cell>
          <cell r="O857" t="str">
            <v xml:space="preserve">Radial Seal Air Filter </v>
          </cell>
        </row>
        <row r="858">
          <cell r="K858" t="str">
            <v>LAF5762</v>
          </cell>
          <cell r="L858" t="str">
            <v>HD</v>
          </cell>
          <cell r="M858" t="str">
            <v>x</v>
          </cell>
          <cell r="N858" t="e">
            <v>#N/A</v>
          </cell>
          <cell r="O858" t="str">
            <v>Radial Seal Inner Air Filter</v>
          </cell>
        </row>
        <row r="859">
          <cell r="K859" t="str">
            <v>LK300V</v>
          </cell>
          <cell r="L859" t="str">
            <v>HD</v>
          </cell>
          <cell r="M859" t="str">
            <v>x</v>
          </cell>
          <cell r="N859" t="e">
            <v>#N/A</v>
          </cell>
          <cell r="O859" t="str">
            <v>Volvo Engine Maintenance Kit</v>
          </cell>
        </row>
        <row r="860">
          <cell r="K860" t="str">
            <v>LAF2831</v>
          </cell>
          <cell r="L860" t="str">
            <v>HD</v>
          </cell>
          <cell r="M860" t="str">
            <v>x</v>
          </cell>
          <cell r="N860" t="e">
            <v>#N/A</v>
          </cell>
          <cell r="O860" t="str">
            <v>Cone Shaped Conical Air Filter</v>
          </cell>
        </row>
        <row r="861">
          <cell r="K861" t="str">
            <v>LAF4629</v>
          </cell>
          <cell r="L861" t="str">
            <v>HD</v>
          </cell>
          <cell r="M861" t="str">
            <v>x</v>
          </cell>
          <cell r="N861" t="e">
            <v>#N/A</v>
          </cell>
          <cell r="O861" t="str">
            <v>Radial Seal Outer Air Filter</v>
          </cell>
        </row>
        <row r="862">
          <cell r="K862" t="str">
            <v>LFH7355</v>
          </cell>
          <cell r="L862" t="str">
            <v>HD</v>
          </cell>
          <cell r="M862" t="str">
            <v>x</v>
          </cell>
          <cell r="N862" t="e">
            <v>#N/A</v>
          </cell>
          <cell r="O862" t="str">
            <v>Spin-on Hydraulic Filter</v>
          </cell>
        </row>
        <row r="863">
          <cell r="K863" t="str">
            <v>LAF1961</v>
          </cell>
          <cell r="L863" t="str">
            <v>HD</v>
          </cell>
          <cell r="M863" t="str">
            <v>x</v>
          </cell>
          <cell r="N863" t="e">
            <v>#N/A</v>
          </cell>
          <cell r="O863" t="str">
            <v>Round Air Filter</v>
          </cell>
        </row>
        <row r="864">
          <cell r="K864" t="str">
            <v>LAF8734</v>
          </cell>
          <cell r="L864" t="str">
            <v>HD</v>
          </cell>
          <cell r="M864" t="str">
            <v>x</v>
          </cell>
          <cell r="N864" t="e">
            <v>#N/A</v>
          </cell>
          <cell r="O864" t="str">
            <v>HD Metal-End Inner Air Filter</v>
          </cell>
        </row>
        <row r="865">
          <cell r="K865" t="str">
            <v>LAF8733</v>
          </cell>
          <cell r="L865" t="str">
            <v>HD</v>
          </cell>
          <cell r="M865" t="str">
            <v>x</v>
          </cell>
          <cell r="N865" t="e">
            <v>#N/A</v>
          </cell>
          <cell r="O865" t="str">
            <v>HD Round Air Filter with Attached Boot</v>
          </cell>
        </row>
        <row r="866">
          <cell r="K866" t="str">
            <v>LAF1813</v>
          </cell>
          <cell r="L866" t="str">
            <v>HD</v>
          </cell>
          <cell r="M866" t="str">
            <v>x</v>
          </cell>
          <cell r="N866" t="e">
            <v>#N/A</v>
          </cell>
          <cell r="O866" t="str">
            <v>HD Metal-End Air Filter</v>
          </cell>
        </row>
        <row r="867">
          <cell r="K867" t="str">
            <v>L8563F</v>
          </cell>
          <cell r="L867" t="str">
            <v>HD</v>
          </cell>
          <cell r="M867" t="str">
            <v>x</v>
          </cell>
          <cell r="N867" t="e">
            <v>#N/A</v>
          </cell>
          <cell r="O867" t="str">
            <v>Snap-Lock Fuel Filter</v>
          </cell>
        </row>
        <row r="868">
          <cell r="K868" t="str">
            <v>LFH4909WA</v>
          </cell>
          <cell r="L868" t="str">
            <v>HD</v>
          </cell>
          <cell r="M868" t="str">
            <v>x</v>
          </cell>
          <cell r="N868" t="e">
            <v>#N/A</v>
          </cell>
          <cell r="O868" t="str">
            <v>Breather Filter</v>
          </cell>
        </row>
        <row r="869">
          <cell r="K869" t="str">
            <v>FT100</v>
          </cell>
          <cell r="L869" t="str">
            <v>HD</v>
          </cell>
          <cell r="M869" t="str">
            <v>x</v>
          </cell>
          <cell r="N869" t="e">
            <v>#N/A</v>
          </cell>
          <cell r="O869" t="str">
            <v>FFD2 Filter and Mounting Base Assembly</v>
          </cell>
        </row>
        <row r="870">
          <cell r="K870" t="str">
            <v>LFH6135</v>
          </cell>
          <cell r="L870" t="str">
            <v>HD</v>
          </cell>
          <cell r="M870" t="str">
            <v>x</v>
          </cell>
          <cell r="N870" t="e">
            <v>#N/A</v>
          </cell>
          <cell r="O870" t="str">
            <v>Spin-on Hydraulic Filter</v>
          </cell>
        </row>
        <row r="871">
          <cell r="K871" t="str">
            <v>L8684F</v>
          </cell>
          <cell r="L871" t="str">
            <v>HD</v>
          </cell>
          <cell r="M871" t="str">
            <v>x</v>
          </cell>
          <cell r="N871" t="e">
            <v>#N/A</v>
          </cell>
          <cell r="O871" t="str">
            <v>Snap-Lock Fuel Filter</v>
          </cell>
        </row>
        <row r="872">
          <cell r="K872" t="str">
            <v>LAF928</v>
          </cell>
          <cell r="L872" t="str">
            <v>HD</v>
          </cell>
          <cell r="M872" t="str">
            <v>x</v>
          </cell>
          <cell r="N872" t="e">
            <v>#N/A</v>
          </cell>
          <cell r="O872" t="str">
            <v>HD Metal-End Air Filter</v>
          </cell>
        </row>
        <row r="873">
          <cell r="K873" t="str">
            <v>LAF6999</v>
          </cell>
          <cell r="L873" t="str">
            <v>HD</v>
          </cell>
          <cell r="M873" t="str">
            <v>x</v>
          </cell>
          <cell r="N873" t="str">
            <v>LAF6999</v>
          </cell>
          <cell r="O873" t="str">
            <v>Radial Seal Inner Air Filter</v>
          </cell>
        </row>
        <row r="874">
          <cell r="K874" t="str">
            <v>LH22044</v>
          </cell>
          <cell r="L874" t="str">
            <v>HD</v>
          </cell>
          <cell r="M874" t="str">
            <v>x</v>
          </cell>
          <cell r="N874" t="e">
            <v>#N/A</v>
          </cell>
          <cell r="O874" t="str">
            <v>Cartridge Hydraulic Filter</v>
          </cell>
        </row>
        <row r="875">
          <cell r="K875" t="str">
            <v>LK90CA</v>
          </cell>
          <cell r="L875" t="str">
            <v>HD</v>
          </cell>
          <cell r="M875" t="str">
            <v>x</v>
          </cell>
          <cell r="N875" t="e">
            <v>#N/A</v>
          </cell>
          <cell r="O875" t="str">
            <v>Caterpillar Engine Maintenance Kit</v>
          </cell>
        </row>
        <row r="876">
          <cell r="K876" t="str">
            <v>LFF4136</v>
          </cell>
          <cell r="L876" t="str">
            <v>HD</v>
          </cell>
          <cell r="M876" t="str">
            <v>x</v>
          </cell>
          <cell r="N876" t="e">
            <v>#N/A</v>
          </cell>
          <cell r="O876" t="str">
            <v>Spin-on Fuel Filter</v>
          </cell>
        </row>
        <row r="877">
          <cell r="K877" t="str">
            <v>LH95277V</v>
          </cell>
          <cell r="L877" t="str">
            <v>HD</v>
          </cell>
          <cell r="M877" t="str">
            <v>x</v>
          </cell>
          <cell r="N877" t="e">
            <v>#N/A</v>
          </cell>
          <cell r="O877" t="str">
            <v>Cartridge Hydraulic Filter</v>
          </cell>
        </row>
        <row r="878">
          <cell r="K878" t="str">
            <v>LAF8147</v>
          </cell>
          <cell r="L878" t="str">
            <v>HD</v>
          </cell>
          <cell r="M878" t="str">
            <v>x</v>
          </cell>
          <cell r="N878" t="e">
            <v>#N/A</v>
          </cell>
          <cell r="O878" t="str">
            <v>Radial Seal Outer Air Filter</v>
          </cell>
        </row>
        <row r="879">
          <cell r="K879" t="str">
            <v>L8269F</v>
          </cell>
          <cell r="L879" t="str">
            <v>HD</v>
          </cell>
          <cell r="M879" t="str">
            <v>x</v>
          </cell>
          <cell r="N879" t="e">
            <v>#N/A</v>
          </cell>
          <cell r="O879" t="str">
            <v>Cartridge Fuel Filter</v>
          </cell>
        </row>
        <row r="880">
          <cell r="K880" t="str">
            <v>LFP2271</v>
          </cell>
          <cell r="L880" t="str">
            <v>HD</v>
          </cell>
          <cell r="M880" t="str">
            <v>x</v>
          </cell>
          <cell r="N880" t="e">
            <v>#N/A</v>
          </cell>
          <cell r="O880" t="str">
            <v>Spin-on Oil Filter</v>
          </cell>
        </row>
        <row r="881">
          <cell r="K881" t="str">
            <v>LAF281</v>
          </cell>
          <cell r="L881" t="str">
            <v>HD</v>
          </cell>
          <cell r="M881" t="str">
            <v>x</v>
          </cell>
          <cell r="N881" t="e">
            <v>#N/A</v>
          </cell>
          <cell r="O881" t="str">
            <v>Finned Vane Air Filter</v>
          </cell>
        </row>
        <row r="882">
          <cell r="K882" t="str">
            <v>LAF1856</v>
          </cell>
          <cell r="L882" t="str">
            <v>HD</v>
          </cell>
          <cell r="M882" t="str">
            <v>x</v>
          </cell>
          <cell r="N882" t="e">
            <v>#N/A</v>
          </cell>
          <cell r="O882" t="str">
            <v>Foam Wrap Air Filter</v>
          </cell>
        </row>
        <row r="883">
          <cell r="K883" t="str">
            <v>LFH22028</v>
          </cell>
          <cell r="L883" t="str">
            <v>HD</v>
          </cell>
          <cell r="M883" t="str">
            <v>x</v>
          </cell>
          <cell r="N883" t="e">
            <v>#N/A</v>
          </cell>
          <cell r="O883" t="str">
            <v>Spin-on Hydraulic Filter</v>
          </cell>
        </row>
        <row r="884">
          <cell r="K884" t="str">
            <v>LAF8110</v>
          </cell>
          <cell r="L884" t="str">
            <v>HD</v>
          </cell>
          <cell r="M884" t="str">
            <v>x</v>
          </cell>
          <cell r="N884" t="e">
            <v>#N/A</v>
          </cell>
          <cell r="O884" t="str">
            <v>Radial Seal Outer Air Filter</v>
          </cell>
        </row>
        <row r="885">
          <cell r="K885" t="str">
            <v>LAF4526</v>
          </cell>
          <cell r="L885" t="str">
            <v>HD</v>
          </cell>
          <cell r="M885" t="str">
            <v>x</v>
          </cell>
          <cell r="N885" t="e">
            <v>#N/A</v>
          </cell>
          <cell r="O885" t="str">
            <v>Radial Seal Outer Air Filter</v>
          </cell>
        </row>
        <row r="886">
          <cell r="K886" t="str">
            <v>LAF9202</v>
          </cell>
          <cell r="L886" t="str">
            <v>HD</v>
          </cell>
          <cell r="M886" t="str">
            <v>x</v>
          </cell>
          <cell r="N886" t="str">
            <v>LAF9202</v>
          </cell>
          <cell r="O886" t="str">
            <v>Radial Seal Inner Air Filter Inner</v>
          </cell>
        </row>
        <row r="887">
          <cell r="K887" t="str">
            <v>LFF5644</v>
          </cell>
          <cell r="L887" t="str">
            <v>HD</v>
          </cell>
          <cell r="M887" t="str">
            <v>x</v>
          </cell>
          <cell r="N887" t="str">
            <v>LFF5644</v>
          </cell>
          <cell r="O887" t="str">
            <v>Spin-on Fuel Filter</v>
          </cell>
        </row>
        <row r="888">
          <cell r="K888" t="str">
            <v>LAF1483</v>
          </cell>
          <cell r="L888" t="str">
            <v>HD</v>
          </cell>
          <cell r="M888" t="str">
            <v>x</v>
          </cell>
          <cell r="N888" t="e">
            <v>#N/A</v>
          </cell>
          <cell r="O888" t="str">
            <v>Panel Air Filter Irregular Shaped</v>
          </cell>
        </row>
        <row r="889">
          <cell r="K889" t="str">
            <v>CAF24004XL</v>
          </cell>
          <cell r="L889" t="str">
            <v>HD</v>
          </cell>
          <cell r="M889" t="str">
            <v>x</v>
          </cell>
          <cell r="N889" t="e">
            <v>#N/A</v>
          </cell>
          <cell r="O889" t="str">
            <v>Cabin Air Filter (Carbon) Extreme Clean</v>
          </cell>
        </row>
        <row r="890">
          <cell r="K890" t="str">
            <v>LAF2526</v>
          </cell>
          <cell r="L890" t="str">
            <v>HD</v>
          </cell>
          <cell r="M890" t="str">
            <v>x</v>
          </cell>
          <cell r="N890" t="e">
            <v>#N/A</v>
          </cell>
          <cell r="O890" t="str">
            <v>HD Metal-End Inner Air Filter</v>
          </cell>
        </row>
        <row r="891">
          <cell r="K891" t="str">
            <v>LP1653</v>
          </cell>
          <cell r="L891" t="str">
            <v>HD</v>
          </cell>
          <cell r="M891" t="str">
            <v>x</v>
          </cell>
          <cell r="N891" t="e">
            <v>#N/A</v>
          </cell>
          <cell r="O891" t="str">
            <v>Cartridge Oil Filter</v>
          </cell>
        </row>
        <row r="892">
          <cell r="K892" t="str">
            <v>LH8544</v>
          </cell>
          <cell r="L892" t="str">
            <v>HD</v>
          </cell>
          <cell r="M892" t="str">
            <v>x</v>
          </cell>
          <cell r="N892" t="e">
            <v>#N/A</v>
          </cell>
          <cell r="O892" t="str">
            <v>Cartridge Hydraulic Filter</v>
          </cell>
        </row>
        <row r="893">
          <cell r="K893" t="str">
            <v>LAF9657</v>
          </cell>
          <cell r="L893" t="str">
            <v>HD</v>
          </cell>
          <cell r="M893" t="str">
            <v>x</v>
          </cell>
          <cell r="N893" t="e">
            <v>#N/A</v>
          </cell>
          <cell r="O893" t="str">
            <v>Panel Air Filter Metal Framed</v>
          </cell>
        </row>
        <row r="894">
          <cell r="K894" t="str">
            <v>LAF9086</v>
          </cell>
          <cell r="L894" t="str">
            <v>HD</v>
          </cell>
          <cell r="M894" t="str">
            <v>x</v>
          </cell>
          <cell r="N894" t="e">
            <v>#N/A</v>
          </cell>
          <cell r="O894" t="str">
            <v>HD Metal-End Air Filter</v>
          </cell>
        </row>
        <row r="895">
          <cell r="K895" t="str">
            <v>LH8640</v>
          </cell>
          <cell r="L895" t="str">
            <v>HD</v>
          </cell>
          <cell r="M895" t="str">
            <v>x</v>
          </cell>
          <cell r="N895" t="e">
            <v>#N/A</v>
          </cell>
          <cell r="O895" t="str">
            <v>Cartridge Hydraulic Filter</v>
          </cell>
        </row>
        <row r="896">
          <cell r="K896" t="str">
            <v>LFH4213</v>
          </cell>
          <cell r="L896" t="str">
            <v>HD</v>
          </cell>
          <cell r="M896" t="str">
            <v>x</v>
          </cell>
          <cell r="N896" t="e">
            <v>#N/A</v>
          </cell>
          <cell r="O896" t="str">
            <v>Cartridge Hydraulic Filter</v>
          </cell>
        </row>
        <row r="897">
          <cell r="K897" t="str">
            <v>LH4260</v>
          </cell>
          <cell r="L897" t="str">
            <v>HD</v>
          </cell>
          <cell r="M897" t="str">
            <v>x</v>
          </cell>
          <cell r="N897" t="e">
            <v>#N/A</v>
          </cell>
          <cell r="O897" t="str">
            <v>Cartridge Power Steering (Hydraulic) Filter</v>
          </cell>
        </row>
        <row r="898">
          <cell r="K898" t="str">
            <v>LAF4638</v>
          </cell>
          <cell r="L898" t="str">
            <v>HD</v>
          </cell>
          <cell r="M898" t="str">
            <v>x</v>
          </cell>
          <cell r="N898" t="e">
            <v>#N/A</v>
          </cell>
          <cell r="O898" t="str">
            <v>Radial Seal Air Filter (Primary)</v>
          </cell>
        </row>
        <row r="899">
          <cell r="K899" t="str">
            <v>LAF1846</v>
          </cell>
          <cell r="L899" t="str">
            <v>HD</v>
          </cell>
          <cell r="M899" t="str">
            <v>x</v>
          </cell>
          <cell r="N899" t="e">
            <v>#N/A</v>
          </cell>
          <cell r="O899" t="str">
            <v>HD Metal-End Air Filter</v>
          </cell>
        </row>
        <row r="900">
          <cell r="K900" t="str">
            <v>LAF8383</v>
          </cell>
          <cell r="L900" t="str">
            <v>HD</v>
          </cell>
          <cell r="M900" t="str">
            <v>x</v>
          </cell>
          <cell r="N900" t="e">
            <v>#N/A</v>
          </cell>
          <cell r="O900" t="str">
            <v>Round Air Filter</v>
          </cell>
        </row>
        <row r="901">
          <cell r="K901" t="str">
            <v>LFP5120B</v>
          </cell>
          <cell r="L901" t="str">
            <v>HD</v>
          </cell>
          <cell r="M901" t="str">
            <v>x</v>
          </cell>
          <cell r="N901" t="e">
            <v>#N/A</v>
          </cell>
          <cell r="O901" t="str">
            <v>Spin-on Oil Filter</v>
          </cell>
        </row>
        <row r="902">
          <cell r="K902" t="str">
            <v>LK370C</v>
          </cell>
          <cell r="L902" t="str">
            <v>HD</v>
          </cell>
          <cell r="M902" t="str">
            <v>x</v>
          </cell>
          <cell r="N902" t="e">
            <v>#N/A</v>
          </cell>
          <cell r="O902" t="str">
            <v>Cummins Diesel Maintenance Kit</v>
          </cell>
        </row>
        <row r="903">
          <cell r="K903" t="str">
            <v>LH6418</v>
          </cell>
          <cell r="L903" t="str">
            <v>HD</v>
          </cell>
          <cell r="M903" t="str">
            <v>x</v>
          </cell>
          <cell r="N903" t="e">
            <v>#N/A</v>
          </cell>
          <cell r="O903" t="str">
            <v>Cartridge Hydraulic Filter</v>
          </cell>
        </row>
        <row r="904">
          <cell r="K904" t="str">
            <v>LFP2229</v>
          </cell>
          <cell r="L904" t="str">
            <v>HD</v>
          </cell>
          <cell r="M904" t="str">
            <v>x</v>
          </cell>
          <cell r="N904" t="e">
            <v>#N/A</v>
          </cell>
          <cell r="O904" t="str">
            <v>Spin-on Oil Filter</v>
          </cell>
        </row>
        <row r="905">
          <cell r="K905" t="str">
            <v>LAF22029</v>
          </cell>
          <cell r="L905" t="str">
            <v>HD</v>
          </cell>
          <cell r="M905" t="str">
            <v>x</v>
          </cell>
          <cell r="N905" t="e">
            <v>#N/A</v>
          </cell>
          <cell r="O905" t="str">
            <v>Radial Seal Outer Air Filter</v>
          </cell>
        </row>
        <row r="906">
          <cell r="K906" t="str">
            <v>LAF3236</v>
          </cell>
          <cell r="L906" t="str">
            <v>HD</v>
          </cell>
          <cell r="M906" t="str">
            <v>x</v>
          </cell>
          <cell r="N906" t="e">
            <v>#N/A</v>
          </cell>
          <cell r="O906" t="str">
            <v>Corrugated Media Air Filter</v>
          </cell>
        </row>
        <row r="907">
          <cell r="K907" t="str">
            <v>L10F</v>
          </cell>
          <cell r="L907" t="str">
            <v>HD</v>
          </cell>
          <cell r="M907" t="str">
            <v>x</v>
          </cell>
          <cell r="N907" t="e">
            <v>#N/A</v>
          </cell>
          <cell r="O907" t="str">
            <v>Cartridge Fuel Filter</v>
          </cell>
        </row>
        <row r="908">
          <cell r="K908" t="str">
            <v>LFH4081</v>
          </cell>
          <cell r="L908" t="str">
            <v>HD</v>
          </cell>
          <cell r="M908" t="str">
            <v>x</v>
          </cell>
          <cell r="N908" t="e">
            <v>#N/A</v>
          </cell>
          <cell r="O908" t="str">
            <v>Spin-on Hydraulic Filter</v>
          </cell>
        </row>
        <row r="909">
          <cell r="K909" t="str">
            <v>LAF9200</v>
          </cell>
          <cell r="L909" t="str">
            <v>HD</v>
          </cell>
          <cell r="M909" t="str">
            <v>x</v>
          </cell>
          <cell r="N909" t="e">
            <v>#N/A</v>
          </cell>
          <cell r="O909" t="str">
            <v>HD Metal-End Air Filter</v>
          </cell>
        </row>
        <row r="910">
          <cell r="K910" t="str">
            <v>LFF3396</v>
          </cell>
          <cell r="L910" t="str">
            <v>HD</v>
          </cell>
          <cell r="M910" t="str">
            <v>x</v>
          </cell>
          <cell r="N910" t="e">
            <v>#N/A</v>
          </cell>
          <cell r="O910" t="str">
            <v>Spin-on Fuel Filter</v>
          </cell>
        </row>
        <row r="911">
          <cell r="K911" t="str">
            <v>LFW4860XL</v>
          </cell>
          <cell r="L911" t="str">
            <v>HD</v>
          </cell>
          <cell r="M911" t="str">
            <v>x</v>
          </cell>
          <cell r="N911" t="e">
            <v>#N/A</v>
          </cell>
          <cell r="O911" t="str">
            <v>Extended Life Spin-on Coolant Filter</v>
          </cell>
        </row>
        <row r="912">
          <cell r="K912" t="str">
            <v>L6268F</v>
          </cell>
          <cell r="L912" t="str">
            <v>HD</v>
          </cell>
          <cell r="M912" t="str">
            <v>x</v>
          </cell>
          <cell r="N912" t="e">
            <v>#N/A</v>
          </cell>
          <cell r="O912" t="str">
            <v>Snap-lock Fuel/Water Separator Filter</v>
          </cell>
        </row>
        <row r="913">
          <cell r="K913" t="str">
            <v>LFH7221</v>
          </cell>
          <cell r="L913" t="str">
            <v>HD</v>
          </cell>
          <cell r="M913" t="str">
            <v>x</v>
          </cell>
          <cell r="N913" t="e">
            <v>#N/A</v>
          </cell>
          <cell r="O913" t="str">
            <v>Spin-on Hydraulic Filter</v>
          </cell>
        </row>
        <row r="914">
          <cell r="K914" t="str">
            <v>LFF3527</v>
          </cell>
          <cell r="L914" t="str">
            <v>HD</v>
          </cell>
          <cell r="M914" t="str">
            <v>x</v>
          </cell>
          <cell r="N914" t="str">
            <v>LFF3527</v>
          </cell>
          <cell r="O914" t="str">
            <v>Spin-on Fuel Filter</v>
          </cell>
        </row>
        <row r="915">
          <cell r="K915" t="str">
            <v>LAF1820</v>
          </cell>
          <cell r="L915" t="str">
            <v>HD</v>
          </cell>
          <cell r="M915" t="str">
            <v>x</v>
          </cell>
          <cell r="N915" t="e">
            <v>#N/A</v>
          </cell>
          <cell r="O915" t="str">
            <v>HD Metal-End Air Filter</v>
          </cell>
        </row>
        <row r="916">
          <cell r="K916" t="str">
            <v>LFF4511W-30</v>
          </cell>
          <cell r="L916" t="str">
            <v>HD</v>
          </cell>
          <cell r="M916" t="str">
            <v>x</v>
          </cell>
          <cell r="N916" t="e">
            <v>#N/A</v>
          </cell>
          <cell r="O916" t="str">
            <v>Fuel Dispensing Filter</v>
          </cell>
        </row>
        <row r="917">
          <cell r="K917" t="str">
            <v>LFH4960</v>
          </cell>
          <cell r="L917" t="str">
            <v>HD</v>
          </cell>
          <cell r="M917" t="str">
            <v>x</v>
          </cell>
          <cell r="N917" t="e">
            <v>#N/A</v>
          </cell>
          <cell r="O917" t="str">
            <v>Spin-on Hydraulic Filter</v>
          </cell>
        </row>
        <row r="918">
          <cell r="K918">
            <v>21221</v>
          </cell>
          <cell r="L918" t="str">
            <v>HD</v>
          </cell>
          <cell r="M918" t="str">
            <v>x</v>
          </cell>
          <cell r="N918" t="e">
            <v>#N/A</v>
          </cell>
          <cell r="O918" t="str">
            <v>IMPERIAL 750</v>
          </cell>
        </row>
        <row r="919">
          <cell r="K919" t="str">
            <v>LFF9753</v>
          </cell>
          <cell r="L919" t="str">
            <v>HD</v>
          </cell>
          <cell r="M919" t="str">
            <v>x</v>
          </cell>
          <cell r="N919" t="str">
            <v>LFF9753</v>
          </cell>
          <cell r="O919" t="str">
            <v>Spin-on Fuel Filter</v>
          </cell>
        </row>
        <row r="920">
          <cell r="K920" t="str">
            <v>LFF3802</v>
          </cell>
          <cell r="L920" t="str">
            <v>HD</v>
          </cell>
          <cell r="M920" t="str">
            <v>x</v>
          </cell>
          <cell r="N920" t="e">
            <v>#N/A</v>
          </cell>
          <cell r="O920" t="str">
            <v>Spin-on Fuel Filter</v>
          </cell>
        </row>
        <row r="921">
          <cell r="K921" t="str">
            <v>L3881F</v>
          </cell>
          <cell r="L921" t="str">
            <v>HD</v>
          </cell>
          <cell r="M921" t="str">
            <v>x</v>
          </cell>
          <cell r="N921" t="e">
            <v>#N/A</v>
          </cell>
          <cell r="O921" t="str">
            <v>Snap-Lock Fuel Filter</v>
          </cell>
        </row>
        <row r="922">
          <cell r="K922" t="str">
            <v>LFH4635</v>
          </cell>
          <cell r="L922" t="str">
            <v>HD</v>
          </cell>
          <cell r="M922" t="str">
            <v>x</v>
          </cell>
          <cell r="N922" t="e">
            <v>#N/A</v>
          </cell>
          <cell r="O922" t="str">
            <v>Cartridge Hydraulic Filter</v>
          </cell>
        </row>
        <row r="923">
          <cell r="K923" t="str">
            <v>LFH8263</v>
          </cell>
          <cell r="L923" t="str">
            <v>HD</v>
          </cell>
          <cell r="M923" t="str">
            <v>x</v>
          </cell>
          <cell r="N923" t="e">
            <v>#N/A</v>
          </cell>
          <cell r="O923" t="str">
            <v>Spin-on Hydraulic Filter</v>
          </cell>
        </row>
        <row r="924">
          <cell r="K924" t="str">
            <v>LAF1768</v>
          </cell>
          <cell r="L924" t="str">
            <v>HD</v>
          </cell>
          <cell r="M924" t="str">
            <v>x</v>
          </cell>
          <cell r="N924" t="e">
            <v>#N/A</v>
          </cell>
          <cell r="O924" t="str">
            <v>HD Metal-End Air Filter with Attached Lid</v>
          </cell>
        </row>
        <row r="925">
          <cell r="K925" t="str">
            <v>LAF6834</v>
          </cell>
          <cell r="L925" t="str">
            <v>HD</v>
          </cell>
          <cell r="M925" t="str">
            <v>x</v>
          </cell>
          <cell r="N925" t="e">
            <v>#N/A</v>
          </cell>
          <cell r="O925" t="str">
            <v>Round Inner Air Filter</v>
          </cell>
        </row>
        <row r="926">
          <cell r="K926" t="str">
            <v>LAF8514</v>
          </cell>
          <cell r="L926" t="str">
            <v>HD</v>
          </cell>
          <cell r="M926" t="str">
            <v>x</v>
          </cell>
          <cell r="N926" t="e">
            <v>#N/A</v>
          </cell>
          <cell r="O926" t="str">
            <v>HD Metal-End Air Filter</v>
          </cell>
        </row>
        <row r="927">
          <cell r="K927" t="str">
            <v>L3893F</v>
          </cell>
          <cell r="L927" t="str">
            <v>HD</v>
          </cell>
          <cell r="M927" t="str">
            <v>x</v>
          </cell>
          <cell r="N927" t="e">
            <v>#N/A</v>
          </cell>
          <cell r="O927" t="str">
            <v>Snap-lock Fuel/Water Separator Filter</v>
          </cell>
        </row>
        <row r="928">
          <cell r="K928" t="str">
            <v>LP2545</v>
          </cell>
          <cell r="L928" t="str">
            <v>HD</v>
          </cell>
          <cell r="M928" t="str">
            <v>x</v>
          </cell>
          <cell r="N928" t="e">
            <v>#N/A</v>
          </cell>
          <cell r="O928" t="str">
            <v>Cartridge Oil Filter</v>
          </cell>
        </row>
        <row r="929">
          <cell r="K929" t="str">
            <v>LAF1814</v>
          </cell>
          <cell r="L929" t="str">
            <v>HD</v>
          </cell>
          <cell r="M929" t="str">
            <v>x</v>
          </cell>
          <cell r="N929" t="e">
            <v>#N/A</v>
          </cell>
          <cell r="O929" t="str">
            <v>HD Metal-End Inner Air Filter</v>
          </cell>
        </row>
        <row r="930">
          <cell r="K930" t="str">
            <v>LAF5454</v>
          </cell>
          <cell r="L930" t="str">
            <v>HD</v>
          </cell>
          <cell r="M930" t="str">
            <v>x</v>
          </cell>
          <cell r="N930" t="e">
            <v>#N/A</v>
          </cell>
          <cell r="O930" t="str">
            <v>Panel Air Filter Irregular Shaped</v>
          </cell>
        </row>
        <row r="931">
          <cell r="K931" t="str">
            <v>LFH6812</v>
          </cell>
          <cell r="L931" t="str">
            <v>HD</v>
          </cell>
          <cell r="M931" t="str">
            <v>x</v>
          </cell>
          <cell r="N931" t="str">
            <v>LFH6812</v>
          </cell>
          <cell r="O931" t="str">
            <v>Spin-on Hydraulic Filter</v>
          </cell>
        </row>
        <row r="932">
          <cell r="K932" t="str">
            <v>LAF8531</v>
          </cell>
          <cell r="L932" t="str">
            <v>HD</v>
          </cell>
          <cell r="M932" t="str">
            <v>x</v>
          </cell>
          <cell r="N932" t="e">
            <v>#N/A</v>
          </cell>
          <cell r="O932" t="str">
            <v>Cone Shaped Conical Air Filter</v>
          </cell>
        </row>
        <row r="933">
          <cell r="K933" t="str">
            <v>LAF8407</v>
          </cell>
          <cell r="L933" t="str">
            <v>HD</v>
          </cell>
          <cell r="M933" t="str">
            <v>x</v>
          </cell>
          <cell r="N933" t="e">
            <v>#N/A</v>
          </cell>
          <cell r="O933" t="str">
            <v>HD Metal-End Air Filter</v>
          </cell>
        </row>
        <row r="934">
          <cell r="K934" t="str">
            <v>L3444F</v>
          </cell>
          <cell r="L934" t="str">
            <v>HD</v>
          </cell>
          <cell r="M934" t="str">
            <v>x</v>
          </cell>
          <cell r="N934" t="e">
            <v>#N/A</v>
          </cell>
          <cell r="O934" t="str">
            <v>Snap-lock Fuel/Water Separator Filter</v>
          </cell>
        </row>
        <row r="935">
          <cell r="K935" t="str">
            <v>LAF1879</v>
          </cell>
          <cell r="L935" t="str">
            <v>HD</v>
          </cell>
          <cell r="M935" t="str">
            <v>x</v>
          </cell>
          <cell r="N935" t="e">
            <v>#N/A</v>
          </cell>
          <cell r="O935" t="str">
            <v>Panel Air Filter Metal Framed</v>
          </cell>
        </row>
        <row r="936">
          <cell r="K936" t="str">
            <v>LFP2287</v>
          </cell>
          <cell r="L936" t="str">
            <v>HD</v>
          </cell>
          <cell r="M936" t="str">
            <v>x</v>
          </cell>
          <cell r="N936" t="e">
            <v>#N/A</v>
          </cell>
          <cell r="O936" t="str">
            <v>Spin-on Hydraulic Filter</v>
          </cell>
        </row>
        <row r="937">
          <cell r="K937" t="str">
            <v>LFH9353</v>
          </cell>
          <cell r="L937" t="str">
            <v>HD</v>
          </cell>
          <cell r="M937" t="str">
            <v>x</v>
          </cell>
          <cell r="N937" t="e">
            <v>#N/A</v>
          </cell>
          <cell r="O937" t="str">
            <v>Spin-on Hydraulic Filter</v>
          </cell>
        </row>
        <row r="938">
          <cell r="K938" t="str">
            <v>LFF3513</v>
          </cell>
          <cell r="L938" t="str">
            <v>HD</v>
          </cell>
          <cell r="M938" t="str">
            <v>x</v>
          </cell>
          <cell r="N938" t="e">
            <v>#N/A</v>
          </cell>
          <cell r="O938" t="str">
            <v>Spin-on Fuel Filter</v>
          </cell>
        </row>
        <row r="939">
          <cell r="K939" t="str">
            <v>LAF7315</v>
          </cell>
          <cell r="L939" t="str">
            <v>HD</v>
          </cell>
          <cell r="M939" t="str">
            <v>x</v>
          </cell>
          <cell r="N939" t="e">
            <v>#N/A</v>
          </cell>
          <cell r="O939" t="str">
            <v>HD Metal-End Inner Air Filter</v>
          </cell>
        </row>
        <row r="940">
          <cell r="K940" t="str">
            <v>LFH8207</v>
          </cell>
          <cell r="L940" t="str">
            <v>HD</v>
          </cell>
          <cell r="M940" t="str">
            <v>x</v>
          </cell>
          <cell r="N940" t="e">
            <v>#N/A</v>
          </cell>
          <cell r="O940" t="str">
            <v>Spin-on Hydraulic Filter</v>
          </cell>
        </row>
        <row r="941">
          <cell r="K941" t="str">
            <v>LAF8144</v>
          </cell>
          <cell r="L941" t="str">
            <v>HD</v>
          </cell>
          <cell r="M941" t="str">
            <v>x</v>
          </cell>
          <cell r="N941" t="e">
            <v>#N/A</v>
          </cell>
          <cell r="O941" t="str">
            <v>Radial Seal Outer Air Filter</v>
          </cell>
        </row>
        <row r="942">
          <cell r="K942" t="str">
            <v>LAF6205</v>
          </cell>
          <cell r="L942" t="str">
            <v>HD</v>
          </cell>
          <cell r="M942" t="str">
            <v>x</v>
          </cell>
          <cell r="N942" t="str">
            <v>LAF6205</v>
          </cell>
          <cell r="O942" t="str">
            <v>Radial Seal Air Filter, Primary</v>
          </cell>
        </row>
        <row r="943">
          <cell r="K943" t="str">
            <v>LH5719</v>
          </cell>
          <cell r="L943" t="str">
            <v>HD</v>
          </cell>
          <cell r="M943" t="str">
            <v>x</v>
          </cell>
          <cell r="N943" t="e">
            <v>#N/A</v>
          </cell>
          <cell r="O943" t="str">
            <v>Cartridge Hydraulic Filter</v>
          </cell>
        </row>
        <row r="944">
          <cell r="K944" t="str">
            <v>LAF3951</v>
          </cell>
          <cell r="L944" t="str">
            <v>HD</v>
          </cell>
          <cell r="M944" t="str">
            <v>x</v>
          </cell>
          <cell r="N944" t="e">
            <v>#N/A</v>
          </cell>
          <cell r="O944" t="str">
            <v>Radial Seal Outer Air Filter</v>
          </cell>
        </row>
        <row r="945">
          <cell r="K945" t="str">
            <v>LFP3746</v>
          </cell>
          <cell r="L945" t="str">
            <v>HD</v>
          </cell>
          <cell r="M945" t="str">
            <v>x</v>
          </cell>
          <cell r="N945" t="e">
            <v>#N/A</v>
          </cell>
          <cell r="O945" t="str">
            <v>Spin-on Oil Filter</v>
          </cell>
        </row>
        <row r="946">
          <cell r="K946" t="str">
            <v>LFF8676</v>
          </cell>
          <cell r="L946" t="str">
            <v>HD</v>
          </cell>
          <cell r="M946" t="str">
            <v>x</v>
          </cell>
          <cell r="N946" t="e">
            <v>#N/A</v>
          </cell>
          <cell r="O946" t="str">
            <v>Spin-on Fuel Filter</v>
          </cell>
        </row>
        <row r="947">
          <cell r="K947" t="str">
            <v>LAF5453</v>
          </cell>
          <cell r="L947" t="str">
            <v>HD</v>
          </cell>
          <cell r="M947" t="str">
            <v>x</v>
          </cell>
          <cell r="N947" t="e">
            <v>#N/A</v>
          </cell>
          <cell r="O947" t="str">
            <v>Corrugated Media Air Filter</v>
          </cell>
        </row>
        <row r="948">
          <cell r="K948" t="str">
            <v>CAF24011XL</v>
          </cell>
          <cell r="L948" t="str">
            <v>HD</v>
          </cell>
          <cell r="M948" t="str">
            <v>x</v>
          </cell>
          <cell r="N948" t="e">
            <v>#N/A</v>
          </cell>
          <cell r="O948" t="str">
            <v>Cabin Air Filter (Carbon) Extreme Clean</v>
          </cell>
        </row>
        <row r="949">
          <cell r="K949" t="str">
            <v>LAF5864</v>
          </cell>
          <cell r="L949" t="str">
            <v>HD</v>
          </cell>
          <cell r="M949" t="str">
            <v>x</v>
          </cell>
          <cell r="N949" t="e">
            <v>#N/A</v>
          </cell>
          <cell r="O949" t="str">
            <v>Disposible Housing Air Filter</v>
          </cell>
        </row>
        <row r="950">
          <cell r="K950" t="str">
            <v>LAF3663</v>
          </cell>
          <cell r="L950" t="str">
            <v>HD</v>
          </cell>
          <cell r="M950" t="str">
            <v>x</v>
          </cell>
          <cell r="N950" t="e">
            <v>#N/A</v>
          </cell>
          <cell r="O950" t="str">
            <v>Radial Seal Outer Air Filter</v>
          </cell>
        </row>
        <row r="951">
          <cell r="K951" t="str">
            <v>LAF8481</v>
          </cell>
          <cell r="L951" t="str">
            <v>HD</v>
          </cell>
          <cell r="M951" t="str">
            <v>x</v>
          </cell>
          <cell r="N951" t="e">
            <v>#N/A</v>
          </cell>
          <cell r="O951" t="str">
            <v>Radial Seal Inner Air Filter</v>
          </cell>
        </row>
        <row r="952">
          <cell r="K952" t="str">
            <v>CAF24009</v>
          </cell>
          <cell r="L952" t="str">
            <v>HD</v>
          </cell>
          <cell r="M952" t="str">
            <v>x</v>
          </cell>
          <cell r="N952" t="e">
            <v>#N/A</v>
          </cell>
          <cell r="O952" t="str">
            <v>Cabin Air Filter</v>
          </cell>
        </row>
        <row r="953">
          <cell r="K953" t="str">
            <v>LH4916-10</v>
          </cell>
          <cell r="L953" t="str">
            <v>HD</v>
          </cell>
          <cell r="M953" t="str">
            <v>x</v>
          </cell>
          <cell r="N953" t="e">
            <v>#N/A</v>
          </cell>
          <cell r="O953" t="str">
            <v>Cartridge Hydraulic Filter</v>
          </cell>
        </row>
        <row r="954">
          <cell r="K954" t="str">
            <v>LFH22034</v>
          </cell>
          <cell r="L954" t="str">
            <v>HD</v>
          </cell>
          <cell r="M954" t="str">
            <v>x</v>
          </cell>
          <cell r="N954" t="e">
            <v>#N/A</v>
          </cell>
          <cell r="O954" t="str">
            <v>Spin-on Hydraulic Filter</v>
          </cell>
        </row>
        <row r="955">
          <cell r="K955" t="str">
            <v>LFH4989</v>
          </cell>
          <cell r="L955" t="str">
            <v>HD</v>
          </cell>
          <cell r="M955" t="str">
            <v>x</v>
          </cell>
          <cell r="N955" t="e">
            <v>#N/A</v>
          </cell>
          <cell r="O955" t="str">
            <v>Spin-on Hydraulic Filter</v>
          </cell>
        </row>
        <row r="956">
          <cell r="K956" t="str">
            <v>LH9351</v>
          </cell>
          <cell r="L956" t="str">
            <v>HD</v>
          </cell>
          <cell r="M956" t="str">
            <v>x</v>
          </cell>
          <cell r="N956" t="e">
            <v>#N/A</v>
          </cell>
          <cell r="O956" t="str">
            <v>Cartridge Hydraulic Filter</v>
          </cell>
        </row>
        <row r="957">
          <cell r="K957" t="str">
            <v>LAF8823</v>
          </cell>
          <cell r="L957" t="str">
            <v>HD</v>
          </cell>
          <cell r="M957" t="str">
            <v>x</v>
          </cell>
          <cell r="N957" t="e">
            <v>#N/A</v>
          </cell>
          <cell r="O957" t="str">
            <v>HD Metal-End Air Filter with Attached Lid</v>
          </cell>
        </row>
        <row r="958">
          <cell r="K958" t="str">
            <v>LAF1533</v>
          </cell>
          <cell r="L958" t="str">
            <v>HD</v>
          </cell>
          <cell r="M958" t="str">
            <v>x</v>
          </cell>
          <cell r="N958" t="e">
            <v>#N/A</v>
          </cell>
          <cell r="O958" t="str">
            <v>HD Metal-End Air Filter</v>
          </cell>
        </row>
        <row r="959">
          <cell r="K959" t="str">
            <v>LAF5430</v>
          </cell>
          <cell r="L959" t="str">
            <v>HD</v>
          </cell>
          <cell r="M959" t="str">
            <v>x</v>
          </cell>
          <cell r="N959" t="e">
            <v>#N/A</v>
          </cell>
          <cell r="O959" t="str">
            <v>Conical Radial Seal Air filter Inner</v>
          </cell>
        </row>
        <row r="960">
          <cell r="K960" t="str">
            <v>LAF3890</v>
          </cell>
          <cell r="L960" t="str">
            <v>HD</v>
          </cell>
          <cell r="M960" t="str">
            <v>x</v>
          </cell>
          <cell r="N960" t="e">
            <v>#N/A</v>
          </cell>
          <cell r="O960" t="str">
            <v>Radial Seal Inner Air Filter</v>
          </cell>
        </row>
        <row r="961">
          <cell r="K961" t="str">
            <v>LFP3692F</v>
          </cell>
          <cell r="L961" t="str">
            <v>HD</v>
          </cell>
          <cell r="M961" t="str">
            <v>x</v>
          </cell>
          <cell r="N961" t="e">
            <v>#N/A</v>
          </cell>
          <cell r="O961" t="str">
            <v>Spin-on Fuel Filter</v>
          </cell>
        </row>
        <row r="962">
          <cell r="K962" t="str">
            <v>LAF5789</v>
          </cell>
          <cell r="L962" t="str">
            <v>HD</v>
          </cell>
          <cell r="M962" t="str">
            <v>x</v>
          </cell>
          <cell r="N962" t="e">
            <v>#N/A</v>
          </cell>
          <cell r="O962" t="str">
            <v>Oval Air Filter</v>
          </cell>
        </row>
        <row r="963">
          <cell r="K963" t="str">
            <v>LAF6114</v>
          </cell>
          <cell r="L963" t="str">
            <v>HD</v>
          </cell>
          <cell r="M963" t="str">
            <v>x</v>
          </cell>
          <cell r="N963" t="e">
            <v>#N/A</v>
          </cell>
          <cell r="O963" t="str">
            <v>Radial Seal Outer Air Filter</v>
          </cell>
        </row>
        <row r="964">
          <cell r="K964" t="str">
            <v>LFF7688</v>
          </cell>
          <cell r="L964" t="str">
            <v>HD</v>
          </cell>
          <cell r="M964" t="str">
            <v>x</v>
          </cell>
          <cell r="N964" t="e">
            <v>#N/A</v>
          </cell>
          <cell r="O964" t="str">
            <v>Spin-on Fuel Water Separator Filter</v>
          </cell>
        </row>
        <row r="965">
          <cell r="K965" t="str">
            <v>LFF7284</v>
          </cell>
          <cell r="L965" t="str">
            <v>HD</v>
          </cell>
          <cell r="M965" t="str">
            <v>x</v>
          </cell>
          <cell r="N965" t="e">
            <v>#N/A</v>
          </cell>
          <cell r="O965" t="str">
            <v>Cartridge Fuel/Water Separator Filter</v>
          </cell>
        </row>
        <row r="966">
          <cell r="K966" t="str">
            <v>LAF8114</v>
          </cell>
          <cell r="L966" t="str">
            <v>HD</v>
          </cell>
          <cell r="M966" t="str">
            <v>x</v>
          </cell>
          <cell r="N966" t="e">
            <v>#N/A</v>
          </cell>
          <cell r="O966" t="str">
            <v>Radial Seal Inner Air Filter</v>
          </cell>
        </row>
        <row r="967">
          <cell r="K967" t="str">
            <v>LAF8776</v>
          </cell>
          <cell r="L967" t="str">
            <v>HD</v>
          </cell>
          <cell r="M967" t="str">
            <v>x</v>
          </cell>
          <cell r="N967" t="e">
            <v>#N/A</v>
          </cell>
          <cell r="O967" t="str">
            <v>HD Metal-End Air Filter with Attached Lid</v>
          </cell>
        </row>
        <row r="968">
          <cell r="K968" t="str">
            <v>LAF3237</v>
          </cell>
          <cell r="L968" t="str">
            <v>HD</v>
          </cell>
          <cell r="M968" t="str">
            <v>x</v>
          </cell>
          <cell r="N968" t="e">
            <v>#N/A</v>
          </cell>
          <cell r="O968" t="str">
            <v>Special Configuration Air Filter</v>
          </cell>
        </row>
        <row r="969">
          <cell r="K969" t="str">
            <v>LAF8146</v>
          </cell>
          <cell r="L969" t="str">
            <v>HD</v>
          </cell>
          <cell r="M969" t="str">
            <v>x</v>
          </cell>
          <cell r="N969" t="e">
            <v>#N/A</v>
          </cell>
          <cell r="O969" t="str">
            <v>Radial Seal Outer Air Filter</v>
          </cell>
        </row>
        <row r="970">
          <cell r="K970" t="str">
            <v>LFH1832</v>
          </cell>
          <cell r="L970" t="str">
            <v>HD</v>
          </cell>
          <cell r="M970" t="str">
            <v>x</v>
          </cell>
          <cell r="N970" t="e">
            <v>#N/A</v>
          </cell>
          <cell r="O970" t="str">
            <v>Spin-on Hydraulic Filter</v>
          </cell>
        </row>
        <row r="971">
          <cell r="K971" t="str">
            <v>LAF4511</v>
          </cell>
          <cell r="L971" t="str">
            <v>HD</v>
          </cell>
          <cell r="M971" t="str">
            <v>x</v>
          </cell>
          <cell r="N971" t="str">
            <v>LAF4511</v>
          </cell>
          <cell r="O971" t="str">
            <v>Disposible Housing Air Filter</v>
          </cell>
        </row>
        <row r="972">
          <cell r="K972" t="str">
            <v>LFH8799</v>
          </cell>
          <cell r="L972" t="str">
            <v>HD</v>
          </cell>
          <cell r="M972" t="str">
            <v>x</v>
          </cell>
          <cell r="N972" t="e">
            <v>#N/A</v>
          </cell>
          <cell r="O972" t="str">
            <v>Spin-on Hydraulic Filter</v>
          </cell>
        </row>
        <row r="973">
          <cell r="K973" t="str">
            <v>LAF210</v>
          </cell>
          <cell r="L973" t="str">
            <v>HD</v>
          </cell>
          <cell r="M973" t="str">
            <v>x</v>
          </cell>
          <cell r="N973" t="e">
            <v>#N/A</v>
          </cell>
          <cell r="O973" t="str">
            <v>HD Metal-End Air Filter</v>
          </cell>
        </row>
        <row r="974">
          <cell r="K974" t="str">
            <v>LP5730</v>
          </cell>
          <cell r="L974" t="str">
            <v>HD</v>
          </cell>
          <cell r="M974" t="str">
            <v>x</v>
          </cell>
          <cell r="N974" t="e">
            <v>#N/A</v>
          </cell>
          <cell r="O974" t="str">
            <v>Cartridge Oil Filter</v>
          </cell>
        </row>
        <row r="975">
          <cell r="K975" t="str">
            <v>LH8506</v>
          </cell>
          <cell r="L975" t="str">
            <v>HD</v>
          </cell>
          <cell r="M975" t="str">
            <v>x</v>
          </cell>
          <cell r="N975" t="e">
            <v>#N/A</v>
          </cell>
          <cell r="O975" t="str">
            <v>Cartridge Hydraulic Filter</v>
          </cell>
        </row>
        <row r="976">
          <cell r="K976" t="str">
            <v>LAF562</v>
          </cell>
          <cell r="L976" t="str">
            <v>HD</v>
          </cell>
          <cell r="M976" t="str">
            <v>x</v>
          </cell>
          <cell r="N976" t="e">
            <v>#N/A</v>
          </cell>
          <cell r="O976" t="str">
            <v>HD Metal-End Air Filter</v>
          </cell>
        </row>
        <row r="977">
          <cell r="K977" t="str">
            <v>LAF1799</v>
          </cell>
          <cell r="L977" t="str">
            <v>HD</v>
          </cell>
          <cell r="M977" t="str">
            <v>x</v>
          </cell>
          <cell r="N977" t="e">
            <v>#N/A</v>
          </cell>
          <cell r="O977" t="str">
            <v>Disposible Housing Air Filter</v>
          </cell>
        </row>
        <row r="978">
          <cell r="K978" t="str">
            <v>LAF558</v>
          </cell>
          <cell r="L978" t="str">
            <v>HD</v>
          </cell>
          <cell r="M978" t="str">
            <v>x</v>
          </cell>
          <cell r="N978" t="e">
            <v>#N/A</v>
          </cell>
          <cell r="O978" t="str">
            <v>HD Metal-End Air Filter</v>
          </cell>
        </row>
        <row r="979">
          <cell r="K979" t="str">
            <v>LFH8335</v>
          </cell>
          <cell r="L979" t="str">
            <v>HD</v>
          </cell>
          <cell r="M979" t="str">
            <v>x</v>
          </cell>
          <cell r="N979" t="e">
            <v>#N/A</v>
          </cell>
          <cell r="O979" t="str">
            <v>Spin-on Hydraulic Filter</v>
          </cell>
        </row>
        <row r="980">
          <cell r="K980" t="str">
            <v>LAF942</v>
          </cell>
          <cell r="L980" t="str">
            <v>HD</v>
          </cell>
          <cell r="M980" t="str">
            <v>x</v>
          </cell>
          <cell r="N980" t="e">
            <v>#N/A</v>
          </cell>
          <cell r="O980" t="str">
            <v>HD Metal-End Air Filter</v>
          </cell>
        </row>
        <row r="981">
          <cell r="K981" t="str">
            <v>LFF5645</v>
          </cell>
          <cell r="L981" t="str">
            <v>HD</v>
          </cell>
          <cell r="M981" t="str">
            <v>x</v>
          </cell>
          <cell r="N981" t="e">
            <v>#N/A</v>
          </cell>
          <cell r="O981" t="str">
            <v>Spin-on Fuel Filter</v>
          </cell>
        </row>
        <row r="982">
          <cell r="K982" t="str">
            <v>LFF8061U</v>
          </cell>
          <cell r="L982" t="str">
            <v>HD</v>
          </cell>
          <cell r="M982" t="str">
            <v>x</v>
          </cell>
          <cell r="N982" t="e">
            <v>#N/A</v>
          </cell>
          <cell r="O982" t="str">
            <v>Spin-on Fuel Filter</v>
          </cell>
        </row>
        <row r="983">
          <cell r="K983" t="str">
            <v>LAF9097MXM</v>
          </cell>
          <cell r="L983" t="str">
            <v>HD</v>
          </cell>
          <cell r="M983" t="str">
            <v>x</v>
          </cell>
          <cell r="N983" t="e">
            <v>#N/A</v>
          </cell>
          <cell r="O983" t="str">
            <v>Nano Tech Air Filter Finned Vane</v>
          </cell>
        </row>
        <row r="984">
          <cell r="K984" t="str">
            <v>LAF3711</v>
          </cell>
          <cell r="L984" t="str">
            <v>HD</v>
          </cell>
          <cell r="M984" t="str">
            <v>x</v>
          </cell>
          <cell r="N984" t="e">
            <v>#N/A</v>
          </cell>
          <cell r="O984" t="str">
            <v>HD Metal-End Air Filter</v>
          </cell>
        </row>
        <row r="985">
          <cell r="K985" t="str">
            <v>LAF1881</v>
          </cell>
          <cell r="L985" t="str">
            <v>HD</v>
          </cell>
          <cell r="M985" t="str">
            <v>x</v>
          </cell>
          <cell r="N985" t="e">
            <v>#N/A</v>
          </cell>
          <cell r="O985" t="str">
            <v>HD Metal-End Air Filter</v>
          </cell>
        </row>
        <row r="986">
          <cell r="K986" t="str">
            <v>LP3660</v>
          </cell>
          <cell r="L986" t="str">
            <v>HD</v>
          </cell>
          <cell r="M986" t="str">
            <v>x</v>
          </cell>
          <cell r="N986" t="e">
            <v>#N/A</v>
          </cell>
          <cell r="O986" t="str">
            <v>Cartridge Oil Filter</v>
          </cell>
        </row>
        <row r="987">
          <cell r="K987" t="str">
            <v>LH8414G</v>
          </cell>
          <cell r="L987" t="str">
            <v>HD</v>
          </cell>
          <cell r="M987" t="str">
            <v>x</v>
          </cell>
          <cell r="N987" t="e">
            <v>#N/A</v>
          </cell>
          <cell r="O987" t="str">
            <v>Cartridge Hydraulic Filter</v>
          </cell>
        </row>
        <row r="988">
          <cell r="K988" t="str">
            <v>LFF8727</v>
          </cell>
          <cell r="L988" t="str">
            <v>HD</v>
          </cell>
          <cell r="M988" t="str">
            <v>x</v>
          </cell>
          <cell r="N988" t="e">
            <v>#N/A</v>
          </cell>
          <cell r="O988" t="str">
            <v>Spin-on Fuel Filter</v>
          </cell>
        </row>
        <row r="989">
          <cell r="K989" t="str">
            <v>LFF3343</v>
          </cell>
          <cell r="L989" t="str">
            <v>HD</v>
          </cell>
          <cell r="M989" t="str">
            <v>x</v>
          </cell>
          <cell r="N989" t="e">
            <v>#N/A</v>
          </cell>
          <cell r="O989" t="str">
            <v>Spin-on Fuel Filter</v>
          </cell>
        </row>
        <row r="990">
          <cell r="K990" t="str">
            <v>LFP8501</v>
          </cell>
          <cell r="L990" t="str">
            <v>HD</v>
          </cell>
          <cell r="M990" t="str">
            <v>x</v>
          </cell>
          <cell r="N990" t="e">
            <v>#N/A</v>
          </cell>
          <cell r="O990" t="str">
            <v>Spin-on Oil Filter</v>
          </cell>
        </row>
        <row r="991">
          <cell r="K991" t="str">
            <v>LAF503</v>
          </cell>
          <cell r="L991" t="str">
            <v>HD</v>
          </cell>
          <cell r="M991" t="str">
            <v>x</v>
          </cell>
          <cell r="N991" t="e">
            <v>#N/A</v>
          </cell>
          <cell r="O991" t="str">
            <v>HD Metal-End Inner Air Filter</v>
          </cell>
        </row>
        <row r="992">
          <cell r="K992" t="str">
            <v>LAF6151</v>
          </cell>
          <cell r="L992" t="str">
            <v>HD</v>
          </cell>
          <cell r="M992" t="str">
            <v>x</v>
          </cell>
          <cell r="N992" t="e">
            <v>#N/A</v>
          </cell>
          <cell r="O992" t="str">
            <v>Radial Seal Outer Air Filter</v>
          </cell>
        </row>
        <row r="993">
          <cell r="K993" t="str">
            <v>LFP2215</v>
          </cell>
          <cell r="L993" t="str">
            <v>HD</v>
          </cell>
          <cell r="M993" t="str">
            <v>x</v>
          </cell>
          <cell r="N993" t="e">
            <v>#N/A</v>
          </cell>
          <cell r="O993" t="str">
            <v>Spin-on Oil Filter</v>
          </cell>
        </row>
        <row r="994">
          <cell r="K994" t="str">
            <v>LAF6641</v>
          </cell>
          <cell r="L994" t="str">
            <v>HD</v>
          </cell>
          <cell r="M994" t="str">
            <v>x</v>
          </cell>
          <cell r="N994" t="e">
            <v>#N/A</v>
          </cell>
          <cell r="O994" t="str">
            <v>Round Inner Air Filter</v>
          </cell>
        </row>
        <row r="995">
          <cell r="K995" t="str">
            <v>LFP2100C</v>
          </cell>
          <cell r="L995" t="str">
            <v>HD</v>
          </cell>
          <cell r="M995" t="str">
            <v>x</v>
          </cell>
          <cell r="N995" t="e">
            <v>#N/A</v>
          </cell>
          <cell r="O995" t="str">
            <v>Spin-on Fuel Water Separator Coalescer Filter</v>
          </cell>
        </row>
        <row r="996">
          <cell r="K996" t="str">
            <v>LAF1719</v>
          </cell>
          <cell r="L996" t="str">
            <v>HD</v>
          </cell>
          <cell r="M996" t="str">
            <v>x</v>
          </cell>
          <cell r="N996" t="e">
            <v>#N/A</v>
          </cell>
          <cell r="O996" t="str">
            <v>Round Inner Air Filter</v>
          </cell>
        </row>
        <row r="997">
          <cell r="K997" t="str">
            <v>LAF2821</v>
          </cell>
          <cell r="L997" t="str">
            <v>HD</v>
          </cell>
          <cell r="M997" t="str">
            <v>x</v>
          </cell>
          <cell r="N997" t="e">
            <v>#N/A</v>
          </cell>
          <cell r="O997" t="str">
            <v>HD Metal-End Air Filter with Attached Lid</v>
          </cell>
        </row>
        <row r="998">
          <cell r="K998" t="str">
            <v>LAF8791</v>
          </cell>
          <cell r="L998" t="str">
            <v>HD</v>
          </cell>
          <cell r="M998" t="str">
            <v>x</v>
          </cell>
          <cell r="N998" t="e">
            <v>#N/A</v>
          </cell>
          <cell r="O998" t="str">
            <v>Cabin Air Filter Panel</v>
          </cell>
        </row>
        <row r="999">
          <cell r="K999" t="str">
            <v>LFW4422</v>
          </cell>
          <cell r="L999" t="str">
            <v>HD</v>
          </cell>
          <cell r="M999" t="str">
            <v>x</v>
          </cell>
          <cell r="N999" t="e">
            <v>#N/A</v>
          </cell>
          <cell r="O999" t="str">
            <v>Spin-on Coolant Filter</v>
          </cell>
        </row>
        <row r="1000">
          <cell r="K1000" t="str">
            <v>LFF6924</v>
          </cell>
          <cell r="L1000" t="str">
            <v>HD</v>
          </cell>
          <cell r="M1000" t="str">
            <v>x</v>
          </cell>
          <cell r="N1000" t="str">
            <v>LFF6924</v>
          </cell>
          <cell r="O1000" t="str">
            <v>Spin-on Fuel Filter</v>
          </cell>
        </row>
        <row r="1001">
          <cell r="K1001" t="str">
            <v>CAF24017</v>
          </cell>
          <cell r="L1001" t="str">
            <v>HD</v>
          </cell>
          <cell r="M1001" t="str">
            <v>x</v>
          </cell>
          <cell r="N1001" t="e">
            <v>#N/A</v>
          </cell>
          <cell r="O1001" t="str">
            <v>Cabin Air Filter</v>
          </cell>
        </row>
        <row r="1002">
          <cell r="K1002" t="str">
            <v>L8679F</v>
          </cell>
          <cell r="L1002" t="str">
            <v>HD</v>
          </cell>
          <cell r="M1002" t="str">
            <v>x</v>
          </cell>
          <cell r="N1002" t="e">
            <v>#N/A</v>
          </cell>
          <cell r="O1002" t="str">
            <v>Snap-Lock Fuel Filter</v>
          </cell>
        </row>
        <row r="1003">
          <cell r="K1003" t="str">
            <v>LFF5357</v>
          </cell>
          <cell r="L1003" t="str">
            <v>HD</v>
          </cell>
          <cell r="M1003" t="str">
            <v>x</v>
          </cell>
          <cell r="N1003" t="e">
            <v>#N/A</v>
          </cell>
          <cell r="O1003" t="str">
            <v>Fuel/Water Separator Spin-on Filter</v>
          </cell>
        </row>
        <row r="1004">
          <cell r="K1004" t="str">
            <v>LFH8412</v>
          </cell>
          <cell r="L1004" t="str">
            <v>HD</v>
          </cell>
          <cell r="M1004" t="str">
            <v>x</v>
          </cell>
          <cell r="N1004" t="e">
            <v>#N/A</v>
          </cell>
          <cell r="O1004" t="str">
            <v>Spin-on Hydraulic Filter</v>
          </cell>
        </row>
        <row r="1005">
          <cell r="K1005" t="str">
            <v>LAF1790</v>
          </cell>
          <cell r="L1005" t="str">
            <v>HD</v>
          </cell>
          <cell r="M1005" t="str">
            <v>x</v>
          </cell>
          <cell r="N1005" t="e">
            <v>#N/A</v>
          </cell>
          <cell r="O1005" t="str">
            <v>HD Metal-End Inner Air Filter</v>
          </cell>
        </row>
        <row r="1006">
          <cell r="K1006" t="str">
            <v>LOSK-3</v>
          </cell>
          <cell r="L1006" t="str">
            <v>HD</v>
          </cell>
          <cell r="M1006" t="str">
            <v>x</v>
          </cell>
          <cell r="N1006" t="e">
            <v>#N/A</v>
          </cell>
          <cell r="O1006" t="str">
            <v>Oil Analysis Test Kit</v>
          </cell>
        </row>
        <row r="1007">
          <cell r="K1007" t="str">
            <v>LAF8552</v>
          </cell>
          <cell r="L1007" t="str">
            <v>HD</v>
          </cell>
          <cell r="M1007" t="str">
            <v>x</v>
          </cell>
          <cell r="N1007" t="e">
            <v>#N/A</v>
          </cell>
          <cell r="O1007" t="str">
            <v>HD Round Air Filter with Attached Boot</v>
          </cell>
        </row>
        <row r="1008">
          <cell r="K1008" t="str">
            <v>LFP8316G</v>
          </cell>
          <cell r="L1008" t="str">
            <v>HD</v>
          </cell>
          <cell r="M1008" t="str">
            <v>x</v>
          </cell>
          <cell r="N1008" t="e">
            <v>#N/A</v>
          </cell>
          <cell r="O1008" t="str">
            <v>Spin-on Transmission Filter</v>
          </cell>
        </row>
        <row r="1009">
          <cell r="K1009" t="str">
            <v>LH22064</v>
          </cell>
          <cell r="L1009" t="str">
            <v>HD</v>
          </cell>
          <cell r="M1009" t="str">
            <v>x</v>
          </cell>
          <cell r="N1009" t="e">
            <v>#N/A</v>
          </cell>
          <cell r="O1009" t="str">
            <v>Cartridge Hydraulic Filter</v>
          </cell>
        </row>
        <row r="1010">
          <cell r="K1010" t="str">
            <v>LAF6003</v>
          </cell>
          <cell r="L1010" t="str">
            <v>HD</v>
          </cell>
          <cell r="M1010" t="str">
            <v>x</v>
          </cell>
          <cell r="N1010" t="e">
            <v>#N/A</v>
          </cell>
          <cell r="O1010" t="str">
            <v>Disposible Housing Air Filter</v>
          </cell>
        </row>
        <row r="1011">
          <cell r="K1011" t="str">
            <v>LAF1163</v>
          </cell>
          <cell r="L1011" t="str">
            <v>HD</v>
          </cell>
          <cell r="M1011" t="str">
            <v>x</v>
          </cell>
          <cell r="N1011" t="e">
            <v>#N/A</v>
          </cell>
          <cell r="O1011" t="str">
            <v>HD Metal-End Air Filter</v>
          </cell>
        </row>
        <row r="1012">
          <cell r="K1012" t="str">
            <v>LAF47</v>
          </cell>
          <cell r="L1012" t="str">
            <v>HD</v>
          </cell>
          <cell r="M1012" t="str">
            <v>x</v>
          </cell>
          <cell r="N1012" t="e">
            <v>#N/A</v>
          </cell>
          <cell r="O1012" t="str">
            <v>HD Metal-End Air Filter</v>
          </cell>
        </row>
        <row r="1013">
          <cell r="K1013" t="str">
            <v>LH8543</v>
          </cell>
          <cell r="L1013" t="str">
            <v>HD</v>
          </cell>
          <cell r="M1013" t="str">
            <v>x</v>
          </cell>
          <cell r="N1013" t="e">
            <v>#N/A</v>
          </cell>
          <cell r="O1013" t="str">
            <v>Cartridge Hydraulic Filter</v>
          </cell>
        </row>
        <row r="1014">
          <cell r="K1014" t="str">
            <v>LK162D</v>
          </cell>
          <cell r="L1014" t="str">
            <v>HD</v>
          </cell>
          <cell r="M1014" t="str">
            <v>x</v>
          </cell>
          <cell r="N1014" t="e">
            <v>#N/A</v>
          </cell>
          <cell r="O1014" t="str">
            <v>Detroit Diesel Engine Maintenance Kit</v>
          </cell>
        </row>
        <row r="1015">
          <cell r="K1015" t="str">
            <v>LFF5850U</v>
          </cell>
          <cell r="L1015" t="str">
            <v>HD</v>
          </cell>
          <cell r="M1015" t="str">
            <v>x</v>
          </cell>
          <cell r="N1015" t="e">
            <v>#N/A</v>
          </cell>
          <cell r="O1015" t="str">
            <v>Bowless Fuel Water Separator Filter</v>
          </cell>
        </row>
        <row r="1016">
          <cell r="K1016" t="str">
            <v>LAF290A</v>
          </cell>
          <cell r="L1016" t="str">
            <v>HD</v>
          </cell>
          <cell r="M1016" t="str">
            <v>x</v>
          </cell>
          <cell r="N1016" t="e">
            <v>#N/A</v>
          </cell>
          <cell r="O1016" t="str">
            <v>HD Metal-End Air Filter</v>
          </cell>
        </row>
        <row r="1017">
          <cell r="K1017" t="str">
            <v>LFH9367</v>
          </cell>
          <cell r="L1017" t="str">
            <v>HD</v>
          </cell>
          <cell r="M1017" t="str">
            <v>x</v>
          </cell>
          <cell r="N1017" t="e">
            <v>#N/A</v>
          </cell>
          <cell r="O1017" t="str">
            <v>Spin-on Hydraulic Filter</v>
          </cell>
        </row>
        <row r="1018">
          <cell r="K1018" t="str">
            <v>LAF160</v>
          </cell>
          <cell r="L1018" t="str">
            <v>HD</v>
          </cell>
          <cell r="M1018" t="str">
            <v>x</v>
          </cell>
          <cell r="N1018" t="e">
            <v>#N/A</v>
          </cell>
          <cell r="O1018" t="str">
            <v>HD Metal-End Air Filter</v>
          </cell>
        </row>
        <row r="1019">
          <cell r="K1019" t="str">
            <v>LAF1827</v>
          </cell>
          <cell r="L1019" t="str">
            <v>HD</v>
          </cell>
          <cell r="M1019" t="str">
            <v>x</v>
          </cell>
          <cell r="N1019" t="e">
            <v>#N/A</v>
          </cell>
          <cell r="O1019" t="str">
            <v>Round Air Filter</v>
          </cell>
        </row>
        <row r="1020">
          <cell r="K1020" t="str">
            <v>LFF8092</v>
          </cell>
          <cell r="L1020" t="str">
            <v>HD</v>
          </cell>
          <cell r="M1020" t="str">
            <v>x</v>
          </cell>
          <cell r="N1020" t="e">
            <v>#N/A</v>
          </cell>
          <cell r="O1020" t="str">
            <v>Spin-on Fuel Filter</v>
          </cell>
        </row>
        <row r="1021">
          <cell r="K1021" t="str">
            <v>LFP8964</v>
          </cell>
          <cell r="L1021" t="str">
            <v>HD</v>
          </cell>
          <cell r="M1021" t="str">
            <v>x</v>
          </cell>
          <cell r="N1021" t="e">
            <v>#N/A</v>
          </cell>
          <cell r="O1021" t="str">
            <v>Spin-on Oil Filter</v>
          </cell>
        </row>
        <row r="1022">
          <cell r="K1022" t="str">
            <v>L5109F</v>
          </cell>
          <cell r="O1022" t="str">
            <v>Cartridge Fuel Water Separator Filter</v>
          </cell>
        </row>
        <row r="1023">
          <cell r="K1023" t="str">
            <v>L8721F</v>
          </cell>
          <cell r="L1023" t="str">
            <v>HD</v>
          </cell>
          <cell r="M1023" t="str">
            <v>x</v>
          </cell>
          <cell r="N1023" t="e">
            <v>#N/A</v>
          </cell>
          <cell r="O1023" t="str">
            <v>Snap-Lock Fuel Filter</v>
          </cell>
        </row>
        <row r="1024">
          <cell r="K1024" t="str">
            <v>L5693F</v>
          </cell>
          <cell r="L1024" t="str">
            <v>HD</v>
          </cell>
          <cell r="M1024" t="str">
            <v>x</v>
          </cell>
          <cell r="N1024" t="e">
            <v>#N/A</v>
          </cell>
          <cell r="O1024" t="str">
            <v>Cartridge Fuel Filter</v>
          </cell>
        </row>
        <row r="1025">
          <cell r="K1025" t="str">
            <v>LAF4482</v>
          </cell>
          <cell r="L1025" t="str">
            <v>HD</v>
          </cell>
          <cell r="M1025" t="str">
            <v>x</v>
          </cell>
          <cell r="N1025" t="e">
            <v>#N/A</v>
          </cell>
          <cell r="O1025" t="str">
            <v>Disposible Housing Air Filter</v>
          </cell>
        </row>
        <row r="1026">
          <cell r="K1026" t="str">
            <v>LAF1809</v>
          </cell>
          <cell r="L1026" t="str">
            <v>HD</v>
          </cell>
          <cell r="M1026" t="str">
            <v>x</v>
          </cell>
          <cell r="N1026" t="e">
            <v>#N/A</v>
          </cell>
          <cell r="O1026" t="str">
            <v>HD Metal-End Air Filter</v>
          </cell>
        </row>
        <row r="1027">
          <cell r="K1027" t="str">
            <v>LAF4500</v>
          </cell>
          <cell r="L1027" t="str">
            <v>HD</v>
          </cell>
          <cell r="M1027" t="str">
            <v>x</v>
          </cell>
          <cell r="N1027" t="e">
            <v>#N/A</v>
          </cell>
          <cell r="O1027" t="str">
            <v>Radial Seal Inner Air Filter</v>
          </cell>
        </row>
        <row r="1028">
          <cell r="K1028" t="str">
            <v>LAF4340</v>
          </cell>
          <cell r="L1028" t="str">
            <v>HD</v>
          </cell>
          <cell r="M1028" t="str">
            <v>x</v>
          </cell>
          <cell r="N1028" t="e">
            <v>#N/A</v>
          </cell>
          <cell r="O1028" t="str">
            <v>Cabin Air Filter</v>
          </cell>
        </row>
        <row r="1029">
          <cell r="K1029" t="str">
            <v>LAF8487</v>
          </cell>
          <cell r="L1029" t="str">
            <v>HD</v>
          </cell>
          <cell r="M1029" t="str">
            <v>x</v>
          </cell>
          <cell r="N1029" t="str">
            <v>LAF8487</v>
          </cell>
          <cell r="O1029" t="str">
            <v>Disposible Housing Air Filter</v>
          </cell>
        </row>
        <row r="1030">
          <cell r="K1030" t="str">
            <v>LFF8021</v>
          </cell>
          <cell r="L1030" t="str">
            <v>HD</v>
          </cell>
          <cell r="M1030" t="str">
            <v>x</v>
          </cell>
          <cell r="N1030" t="e">
            <v>#N/A</v>
          </cell>
          <cell r="O1030" t="str">
            <v>Spin-on Fuel Water Separator Filter</v>
          </cell>
        </row>
        <row r="1031">
          <cell r="K1031" t="str">
            <v>LFP2267</v>
          </cell>
          <cell r="L1031" t="str">
            <v>HD</v>
          </cell>
          <cell r="M1031" t="str">
            <v>x</v>
          </cell>
          <cell r="N1031" t="e">
            <v>#N/A</v>
          </cell>
          <cell r="O1031" t="str">
            <v>Spin-on Oil Filter</v>
          </cell>
        </row>
        <row r="1032">
          <cell r="K1032" t="str">
            <v>LFH4439</v>
          </cell>
          <cell r="L1032" t="str">
            <v>HD</v>
          </cell>
          <cell r="M1032" t="str">
            <v>x</v>
          </cell>
          <cell r="N1032" t="e">
            <v>#N/A</v>
          </cell>
          <cell r="O1032" t="str">
            <v>Spin-on Hydraulic Filter</v>
          </cell>
        </row>
        <row r="1033">
          <cell r="K1033" t="str">
            <v>LAF388B</v>
          </cell>
          <cell r="L1033" t="str">
            <v>HD</v>
          </cell>
          <cell r="M1033" t="str">
            <v>x</v>
          </cell>
          <cell r="N1033" t="e">
            <v>#N/A</v>
          </cell>
          <cell r="O1033" t="str">
            <v>Round Air Filter with Foam Wrap</v>
          </cell>
        </row>
        <row r="1034">
          <cell r="K1034" t="str">
            <v>LAF3780</v>
          </cell>
          <cell r="L1034" t="str">
            <v>HD</v>
          </cell>
          <cell r="M1034" t="str">
            <v>x</v>
          </cell>
          <cell r="N1034" t="e">
            <v>#N/A</v>
          </cell>
          <cell r="O1034" t="str">
            <v>Panel Air Filter Irregular Shaped</v>
          </cell>
        </row>
        <row r="1035">
          <cell r="K1035" t="str">
            <v>LAF1716</v>
          </cell>
          <cell r="L1035" t="str">
            <v>HD</v>
          </cell>
          <cell r="M1035" t="str">
            <v>x</v>
          </cell>
          <cell r="N1035" t="e">
            <v>#N/A</v>
          </cell>
          <cell r="O1035" t="str">
            <v>HD Metal-End Air Filter</v>
          </cell>
        </row>
        <row r="1036">
          <cell r="K1036" t="str">
            <v>LFH8500</v>
          </cell>
          <cell r="L1036" t="str">
            <v>HD</v>
          </cell>
          <cell r="M1036" t="str">
            <v>x</v>
          </cell>
          <cell r="N1036" t="e">
            <v>#N/A</v>
          </cell>
          <cell r="O1036" t="str">
            <v>Spin-on Hydraulic Filter</v>
          </cell>
        </row>
        <row r="1037">
          <cell r="K1037" t="str">
            <v>LFP2238</v>
          </cell>
          <cell r="L1037" t="str">
            <v>HD</v>
          </cell>
          <cell r="M1037" t="str">
            <v>x</v>
          </cell>
          <cell r="N1037" t="e">
            <v>#N/A</v>
          </cell>
          <cell r="O1037" t="str">
            <v>Spin-on Oil Filter</v>
          </cell>
        </row>
        <row r="1038">
          <cell r="K1038" t="str">
            <v>LAF5482</v>
          </cell>
          <cell r="L1038" t="str">
            <v>HD</v>
          </cell>
          <cell r="M1038" t="str">
            <v>x</v>
          </cell>
          <cell r="N1038" t="e">
            <v>#N/A</v>
          </cell>
          <cell r="O1038" t="str">
            <v>Cabin Air Filter</v>
          </cell>
        </row>
        <row r="1039">
          <cell r="K1039" t="str">
            <v>LAF8777</v>
          </cell>
          <cell r="L1039" t="str">
            <v>HD</v>
          </cell>
          <cell r="M1039" t="str">
            <v>x</v>
          </cell>
          <cell r="N1039" t="e">
            <v>#N/A</v>
          </cell>
          <cell r="O1039" t="str">
            <v>Flexible Panel Air Filter</v>
          </cell>
        </row>
        <row r="1040">
          <cell r="K1040" t="str">
            <v>FP863F</v>
          </cell>
          <cell r="L1040" t="str">
            <v>HD</v>
          </cell>
          <cell r="M1040" t="str">
            <v>x</v>
          </cell>
          <cell r="N1040" t="e">
            <v>#N/A</v>
          </cell>
          <cell r="O1040" t="str">
            <v>Spin-on Fuel Water Separator Filter</v>
          </cell>
        </row>
        <row r="1041">
          <cell r="K1041" t="str">
            <v>CAF24008</v>
          </cell>
          <cell r="L1041" t="str">
            <v>HD</v>
          </cell>
          <cell r="M1041" t="str">
            <v>x</v>
          </cell>
          <cell r="N1041" t="e">
            <v>#N/A</v>
          </cell>
          <cell r="O1041" t="str">
            <v>Cabin Air Filter</v>
          </cell>
        </row>
        <row r="1042">
          <cell r="K1042" t="str">
            <v>LAF121</v>
          </cell>
          <cell r="L1042" t="str">
            <v>HD</v>
          </cell>
          <cell r="M1042" t="str">
            <v>x</v>
          </cell>
          <cell r="N1042" t="e">
            <v>#N/A</v>
          </cell>
          <cell r="O1042" t="str">
            <v>Round Air Filter</v>
          </cell>
        </row>
        <row r="1043">
          <cell r="K1043" t="str">
            <v>LFF15DPS</v>
          </cell>
          <cell r="L1043" t="str">
            <v>HD</v>
          </cell>
          <cell r="M1043" t="str">
            <v>x</v>
          </cell>
          <cell r="N1043" t="e">
            <v>#N/A</v>
          </cell>
          <cell r="O1043" t="str">
            <v>Fuel Dispensing Filter</v>
          </cell>
        </row>
        <row r="1044">
          <cell r="K1044" t="str">
            <v>LAF4575</v>
          </cell>
          <cell r="L1044" t="str">
            <v>HD</v>
          </cell>
          <cell r="M1044" t="str">
            <v>x</v>
          </cell>
          <cell r="N1044" t="e">
            <v>#N/A</v>
          </cell>
          <cell r="O1044" t="str">
            <v>Cone Shaped Conical Air Filter</v>
          </cell>
        </row>
        <row r="1045">
          <cell r="K1045" t="str">
            <v>LAF7757</v>
          </cell>
          <cell r="L1045" t="str">
            <v>HD</v>
          </cell>
          <cell r="M1045" t="str">
            <v>x</v>
          </cell>
          <cell r="N1045" t="e">
            <v>#N/A</v>
          </cell>
          <cell r="O1045" t="str">
            <v>Metal-End Air Filter with Closed Top End Cap</v>
          </cell>
        </row>
        <row r="1046">
          <cell r="K1046" t="str">
            <v>L901B</v>
          </cell>
          <cell r="L1046" t="str">
            <v>HD</v>
          </cell>
          <cell r="M1046" t="str">
            <v>x</v>
          </cell>
          <cell r="N1046" t="e">
            <v>#N/A</v>
          </cell>
          <cell r="O1046" t="str">
            <v>Glass Bowl</v>
          </cell>
        </row>
        <row r="1047">
          <cell r="K1047" t="str">
            <v>LAF5818</v>
          </cell>
          <cell r="L1047" t="str">
            <v>HD</v>
          </cell>
          <cell r="M1047" t="str">
            <v>x</v>
          </cell>
          <cell r="N1047" t="e">
            <v>#N/A</v>
          </cell>
          <cell r="O1047" t="str">
            <v>Rigid Panel Air Filter</v>
          </cell>
        </row>
        <row r="1048">
          <cell r="K1048" t="str">
            <v>LAF760A</v>
          </cell>
          <cell r="L1048" t="str">
            <v>HD</v>
          </cell>
          <cell r="M1048" t="str">
            <v>x</v>
          </cell>
          <cell r="N1048" t="e">
            <v>#N/A</v>
          </cell>
          <cell r="O1048" t="str">
            <v>HD Metal-End Air Filter</v>
          </cell>
        </row>
        <row r="1049">
          <cell r="K1049" t="str">
            <v>L8892F</v>
          </cell>
          <cell r="L1049" t="str">
            <v>HD</v>
          </cell>
          <cell r="M1049" t="str">
            <v>x</v>
          </cell>
          <cell r="N1049" t="e">
            <v>#N/A</v>
          </cell>
          <cell r="O1049" t="str">
            <v>Snap-Lock Fuel Filter</v>
          </cell>
        </row>
        <row r="1050">
          <cell r="K1050" t="str">
            <v>LFW4018</v>
          </cell>
          <cell r="L1050" t="str">
            <v>HD</v>
          </cell>
          <cell r="M1050" t="str">
            <v>x</v>
          </cell>
          <cell r="N1050" t="e">
            <v>#N/A</v>
          </cell>
          <cell r="O1050" t="str">
            <v>Spin-on Coolant Filter</v>
          </cell>
        </row>
        <row r="1051">
          <cell r="K1051" t="str">
            <v>LAF1675</v>
          </cell>
          <cell r="L1051" t="str">
            <v>HD</v>
          </cell>
          <cell r="M1051" t="str">
            <v>x</v>
          </cell>
          <cell r="N1051" t="e">
            <v>#N/A</v>
          </cell>
          <cell r="O1051" t="str">
            <v>Flexible Panel Air Filter</v>
          </cell>
        </row>
        <row r="1052">
          <cell r="K1052" t="str">
            <v>LAF7234</v>
          </cell>
          <cell r="L1052" t="str">
            <v>HD</v>
          </cell>
          <cell r="M1052" t="str">
            <v>x</v>
          </cell>
          <cell r="N1052" t="e">
            <v>#N/A</v>
          </cell>
          <cell r="O1052" t="str">
            <v>Flexible Panel Air Filter</v>
          </cell>
        </row>
        <row r="1053">
          <cell r="K1053" t="str">
            <v>LP2017CAPT</v>
          </cell>
          <cell r="L1053" t="str">
            <v>HD</v>
          </cell>
          <cell r="M1053" t="str">
            <v>x</v>
          </cell>
          <cell r="N1053" t="e">
            <v>#N/A</v>
          </cell>
          <cell r="O1053" t="str">
            <v>Housing Cap for Ford Super Duty truck using LP2017 Filter</v>
          </cell>
        </row>
        <row r="1054">
          <cell r="K1054" t="str">
            <v>LFF9012</v>
          </cell>
          <cell r="L1054" t="str">
            <v>HD</v>
          </cell>
          <cell r="M1054" t="str">
            <v>x</v>
          </cell>
          <cell r="N1054" t="e">
            <v>#N/A</v>
          </cell>
          <cell r="O1054" t="str">
            <v>Bowl Style Fuel Water Separator Filter</v>
          </cell>
        </row>
        <row r="1055">
          <cell r="K1055" t="str">
            <v>LFH5004</v>
          </cell>
          <cell r="L1055" t="str">
            <v>HD</v>
          </cell>
          <cell r="M1055" t="str">
            <v>x</v>
          </cell>
          <cell r="N1055" t="e">
            <v>#N/A</v>
          </cell>
          <cell r="O1055" t="str">
            <v>Spin-on Hydraulic Filter</v>
          </cell>
        </row>
        <row r="1056">
          <cell r="K1056" t="str">
            <v>CAF24007XL</v>
          </cell>
          <cell r="L1056" t="str">
            <v>HD</v>
          </cell>
          <cell r="M1056" t="str">
            <v>x</v>
          </cell>
          <cell r="N1056" t="e">
            <v>#N/A</v>
          </cell>
          <cell r="O1056" t="str">
            <v>Cabin Air Filter (Carbon) Extreme Clean</v>
          </cell>
        </row>
        <row r="1057">
          <cell r="K1057" t="str">
            <v>CAF24020</v>
          </cell>
          <cell r="L1057" t="str">
            <v>HD</v>
          </cell>
          <cell r="M1057" t="str">
            <v>x</v>
          </cell>
          <cell r="N1057" t="e">
            <v>#N/A</v>
          </cell>
          <cell r="O1057" t="str">
            <v>Cabin Air Filter</v>
          </cell>
        </row>
        <row r="1058">
          <cell r="K1058" t="str">
            <v>LAF1726</v>
          </cell>
          <cell r="L1058" t="str">
            <v>HD</v>
          </cell>
          <cell r="M1058" t="str">
            <v>x</v>
          </cell>
          <cell r="N1058" t="e">
            <v>#N/A</v>
          </cell>
          <cell r="O1058" t="str">
            <v>HD Metal-End Air Filter</v>
          </cell>
        </row>
        <row r="1059">
          <cell r="K1059" t="str">
            <v>LAF7716</v>
          </cell>
          <cell r="L1059" t="str">
            <v>HD</v>
          </cell>
          <cell r="M1059" t="str">
            <v>x</v>
          </cell>
          <cell r="N1059" t="e">
            <v>#N/A</v>
          </cell>
          <cell r="O1059" t="str">
            <v>HD Metal-End Air Filter</v>
          </cell>
        </row>
        <row r="1060">
          <cell r="K1060" t="str">
            <v>LFH4943</v>
          </cell>
          <cell r="L1060" t="str">
            <v>HD</v>
          </cell>
          <cell r="M1060" t="str">
            <v>x</v>
          </cell>
          <cell r="N1060" t="e">
            <v>#N/A</v>
          </cell>
          <cell r="O1060" t="str">
            <v>Spin-on Hydraulic Filter</v>
          </cell>
        </row>
        <row r="1061">
          <cell r="K1061" t="str">
            <v>LFP2303</v>
          </cell>
          <cell r="L1061" t="str">
            <v>HD</v>
          </cell>
          <cell r="M1061" t="str">
            <v>x</v>
          </cell>
          <cell r="N1061" t="e">
            <v>#N/A</v>
          </cell>
          <cell r="O1061" t="str">
            <v>Spin-on Oil Filter</v>
          </cell>
        </row>
        <row r="1062">
          <cell r="K1062" t="str">
            <v>LAF3952</v>
          </cell>
          <cell r="L1062" t="str">
            <v>HD</v>
          </cell>
          <cell r="M1062" t="str">
            <v>x</v>
          </cell>
          <cell r="N1062" t="str">
            <v>LAF3952</v>
          </cell>
          <cell r="O1062" t="str">
            <v>Radial Seal Inner Air Filter</v>
          </cell>
        </row>
        <row r="1063">
          <cell r="K1063" t="str">
            <v>LAF8749</v>
          </cell>
          <cell r="L1063" t="str">
            <v>HD</v>
          </cell>
          <cell r="M1063" t="str">
            <v>x</v>
          </cell>
          <cell r="N1063" t="e">
            <v>#N/A</v>
          </cell>
          <cell r="O1063" t="str">
            <v>Radial Seal Outer Air Filter</v>
          </cell>
        </row>
        <row r="1064">
          <cell r="K1064" t="str">
            <v>L61F</v>
          </cell>
          <cell r="L1064" t="str">
            <v>HD</v>
          </cell>
          <cell r="M1064" t="str">
            <v>x</v>
          </cell>
          <cell r="N1064" t="e">
            <v>#N/A</v>
          </cell>
          <cell r="O1064" t="str">
            <v>Cartridge Fuel Filter</v>
          </cell>
        </row>
        <row r="1065">
          <cell r="K1065" t="str">
            <v>LAF6030</v>
          </cell>
          <cell r="L1065" t="str">
            <v>HD</v>
          </cell>
          <cell r="M1065" t="str">
            <v>x</v>
          </cell>
          <cell r="N1065" t="e">
            <v>#N/A</v>
          </cell>
          <cell r="O1065" t="str">
            <v>Rigid Panel Air Filter</v>
          </cell>
        </row>
        <row r="1066">
          <cell r="K1066" t="str">
            <v>LK368CA</v>
          </cell>
          <cell r="L1066" t="str">
            <v>HD</v>
          </cell>
          <cell r="M1066" t="str">
            <v>x</v>
          </cell>
          <cell r="N1066" t="e">
            <v>#N/A</v>
          </cell>
          <cell r="O1066" t="str">
            <v>Caterpillar Maintenance Kit</v>
          </cell>
        </row>
        <row r="1067">
          <cell r="K1067" t="str">
            <v>LH4263</v>
          </cell>
          <cell r="L1067" t="str">
            <v>HD</v>
          </cell>
          <cell r="M1067" t="str">
            <v>x</v>
          </cell>
          <cell r="N1067" t="e">
            <v>#N/A</v>
          </cell>
          <cell r="O1067" t="str">
            <v>Cartridge Transmission (Hydraulic) Filter</v>
          </cell>
        </row>
        <row r="1068">
          <cell r="K1068" t="str">
            <v>LH2512</v>
          </cell>
          <cell r="L1068" t="str">
            <v>HD</v>
          </cell>
          <cell r="M1068" t="str">
            <v>x</v>
          </cell>
          <cell r="N1068" t="e">
            <v>#N/A</v>
          </cell>
          <cell r="O1068" t="str">
            <v>Cartridge Power Steering (Hydraulic) Filter</v>
          </cell>
        </row>
        <row r="1069">
          <cell r="K1069" t="str">
            <v>LP2235</v>
          </cell>
          <cell r="L1069" t="str">
            <v>HD</v>
          </cell>
          <cell r="M1069" t="str">
            <v>x</v>
          </cell>
          <cell r="N1069" t="e">
            <v>#N/A</v>
          </cell>
          <cell r="O1069" t="str">
            <v>Cartridge Oil Filter</v>
          </cell>
        </row>
        <row r="1070">
          <cell r="K1070" t="str">
            <v>LAF8393</v>
          </cell>
          <cell r="L1070" t="str">
            <v>HD</v>
          </cell>
          <cell r="M1070" t="str">
            <v>x</v>
          </cell>
          <cell r="N1070" t="e">
            <v>#N/A</v>
          </cell>
          <cell r="O1070" t="str">
            <v>Panel Air Filter Metal Framed</v>
          </cell>
        </row>
        <row r="1071">
          <cell r="K1071" t="str">
            <v>LFF5784</v>
          </cell>
          <cell r="L1071" t="str">
            <v>HD</v>
          </cell>
          <cell r="M1071" t="str">
            <v>x</v>
          </cell>
          <cell r="N1071" t="e">
            <v>#N/A</v>
          </cell>
          <cell r="O1071" t="str">
            <v>Spin-on Fuel Filter</v>
          </cell>
        </row>
        <row r="1072">
          <cell r="K1072" t="str">
            <v>LAF9542</v>
          </cell>
          <cell r="L1072" t="str">
            <v>HD</v>
          </cell>
          <cell r="M1072" t="str">
            <v>x</v>
          </cell>
          <cell r="N1072" t="e">
            <v>#N/A</v>
          </cell>
          <cell r="O1072" t="str">
            <v>Radial Seal Outer Air Filter</v>
          </cell>
        </row>
        <row r="1073">
          <cell r="K1073" t="str">
            <v>LFF8677</v>
          </cell>
          <cell r="L1073" t="str">
            <v>HD</v>
          </cell>
          <cell r="M1073" t="str">
            <v>x</v>
          </cell>
          <cell r="N1073" t="e">
            <v>#N/A</v>
          </cell>
          <cell r="O1073" t="str">
            <v>Spin-on Fuel Filter</v>
          </cell>
        </row>
        <row r="1074">
          <cell r="K1074" t="str">
            <v>LAF965</v>
          </cell>
          <cell r="L1074" t="str">
            <v>HD</v>
          </cell>
          <cell r="M1074" t="str">
            <v>x</v>
          </cell>
          <cell r="N1074" t="e">
            <v>#N/A</v>
          </cell>
          <cell r="O1074" t="str">
            <v>Round Air Filter</v>
          </cell>
        </row>
        <row r="1075">
          <cell r="K1075" t="str">
            <v>LAF2536MXM</v>
          </cell>
          <cell r="L1075" t="str">
            <v>HD</v>
          </cell>
          <cell r="M1075" t="str">
            <v>x</v>
          </cell>
          <cell r="N1075" t="e">
            <v>#N/A</v>
          </cell>
          <cell r="O1075" t="str">
            <v>Nano Tech HD Metal-End Air Filter Outer</v>
          </cell>
        </row>
        <row r="1076">
          <cell r="K1076" t="str">
            <v>L3561F</v>
          </cell>
          <cell r="L1076" t="str">
            <v>HD</v>
          </cell>
          <cell r="M1076" t="str">
            <v>x</v>
          </cell>
          <cell r="N1076" t="e">
            <v>#N/A</v>
          </cell>
          <cell r="O1076" t="str">
            <v>Cartridge Fuel Filter</v>
          </cell>
        </row>
        <row r="1077">
          <cell r="K1077" t="str">
            <v>LAF8769</v>
          </cell>
          <cell r="L1077" t="str">
            <v>HD</v>
          </cell>
          <cell r="M1077" t="str">
            <v>x</v>
          </cell>
          <cell r="N1077" t="e">
            <v>#N/A</v>
          </cell>
          <cell r="O1077" t="str">
            <v>Radial Seal Outer Air Filter</v>
          </cell>
        </row>
        <row r="1078">
          <cell r="K1078" t="str">
            <v>LFF4812D-30</v>
          </cell>
          <cell r="L1078" t="str">
            <v>HD</v>
          </cell>
          <cell r="M1078" t="str">
            <v>x</v>
          </cell>
          <cell r="N1078" t="e">
            <v>#N/A</v>
          </cell>
          <cell r="O1078" t="str">
            <v>Spin-on Fuel Water Separator Filter</v>
          </cell>
        </row>
        <row r="1079">
          <cell r="K1079" t="str">
            <v>LAF8115</v>
          </cell>
          <cell r="L1079" t="str">
            <v>HD</v>
          </cell>
          <cell r="M1079" t="str">
            <v>x</v>
          </cell>
          <cell r="N1079" t="e">
            <v>#N/A</v>
          </cell>
          <cell r="O1079" t="str">
            <v>Radial Seal Inner Air Filter</v>
          </cell>
        </row>
        <row r="1080">
          <cell r="K1080" t="str">
            <v>LFH8880G</v>
          </cell>
          <cell r="L1080" t="str">
            <v>HD</v>
          </cell>
          <cell r="M1080" t="str">
            <v>x</v>
          </cell>
          <cell r="N1080" t="e">
            <v>#N/A</v>
          </cell>
          <cell r="O1080" t="str">
            <v>Spin-on Hydraulic Filter</v>
          </cell>
        </row>
        <row r="1081">
          <cell r="K1081" t="str">
            <v>L3546F</v>
          </cell>
          <cell r="L1081" t="str">
            <v>HD</v>
          </cell>
          <cell r="M1081" t="str">
            <v>x</v>
          </cell>
          <cell r="N1081" t="e">
            <v>#N/A</v>
          </cell>
          <cell r="O1081" t="str">
            <v>Spin-on Fuel Water Separator Filter</v>
          </cell>
        </row>
        <row r="1082">
          <cell r="K1082" t="str">
            <v>LAF8690</v>
          </cell>
          <cell r="L1082" t="str">
            <v>HD</v>
          </cell>
          <cell r="M1082" t="str">
            <v>x</v>
          </cell>
          <cell r="N1082" t="e">
            <v>#N/A</v>
          </cell>
          <cell r="O1082" t="str">
            <v>Radial Seal Inner Air Filter</v>
          </cell>
        </row>
        <row r="1083">
          <cell r="K1083" t="str">
            <v>LFF8041</v>
          </cell>
          <cell r="L1083" t="str">
            <v>HD</v>
          </cell>
          <cell r="M1083" t="str">
            <v>x</v>
          </cell>
          <cell r="N1083" t="e">
            <v>#N/A</v>
          </cell>
          <cell r="O1083" t="str">
            <v>Spin-on Fuel Water Separator Filter</v>
          </cell>
        </row>
        <row r="1084">
          <cell r="K1084" t="str">
            <v>LH4237</v>
          </cell>
          <cell r="L1084" t="str">
            <v>HD</v>
          </cell>
          <cell r="M1084" t="str">
            <v>x</v>
          </cell>
          <cell r="N1084" t="e">
            <v>#N/A</v>
          </cell>
          <cell r="O1084" t="str">
            <v>Cartridge Hydraulic Filter</v>
          </cell>
        </row>
        <row r="1085">
          <cell r="K1085" t="str">
            <v>LFH4935</v>
          </cell>
          <cell r="L1085" t="str">
            <v>HD</v>
          </cell>
          <cell r="M1085" t="str">
            <v>x</v>
          </cell>
          <cell r="N1085" t="str">
            <v>LFH4935</v>
          </cell>
          <cell r="O1085" t="str">
            <v>Spin-on Hydraulic Filter</v>
          </cell>
        </row>
        <row r="1086">
          <cell r="K1086" t="str">
            <v>LFP2473</v>
          </cell>
          <cell r="L1086" t="str">
            <v>HD</v>
          </cell>
          <cell r="M1086" t="str">
            <v>x</v>
          </cell>
          <cell r="N1086" t="e">
            <v>#N/A</v>
          </cell>
          <cell r="O1086" t="str">
            <v>Spin-on Oil Filter</v>
          </cell>
        </row>
        <row r="1087">
          <cell r="K1087" t="str">
            <v>LAF3713</v>
          </cell>
          <cell r="L1087" t="str">
            <v>HD</v>
          </cell>
          <cell r="M1087" t="str">
            <v>x</v>
          </cell>
          <cell r="N1087" t="e">
            <v>#N/A</v>
          </cell>
          <cell r="O1087" t="str">
            <v>Cone Shaped Conical Air Filter</v>
          </cell>
        </row>
        <row r="1088">
          <cell r="K1088" t="str">
            <v>LFF5780</v>
          </cell>
          <cell r="L1088" t="str">
            <v>HD</v>
          </cell>
          <cell r="M1088" t="str">
            <v>x</v>
          </cell>
          <cell r="N1088" t="e">
            <v>#N/A</v>
          </cell>
          <cell r="O1088" t="str">
            <v>Spin-on Fuel Filter</v>
          </cell>
        </row>
        <row r="1089">
          <cell r="K1089" t="str">
            <v>LFH4967</v>
          </cell>
          <cell r="L1089" t="str">
            <v>HD</v>
          </cell>
          <cell r="M1089" t="str">
            <v>x</v>
          </cell>
          <cell r="N1089" t="e">
            <v>#N/A</v>
          </cell>
          <cell r="O1089" t="str">
            <v>Spin-on Hydraulic Filter</v>
          </cell>
        </row>
        <row r="1090">
          <cell r="K1090" t="str">
            <v>LAF2531</v>
          </cell>
          <cell r="L1090" t="str">
            <v>HD</v>
          </cell>
          <cell r="M1090" t="str">
            <v>x</v>
          </cell>
          <cell r="N1090" t="e">
            <v>#N/A</v>
          </cell>
          <cell r="O1090" t="str">
            <v>Disposible Housing Air Filter</v>
          </cell>
        </row>
        <row r="1091">
          <cell r="K1091" t="str">
            <v>FW5HD</v>
          </cell>
          <cell r="L1091" t="str">
            <v>HD</v>
          </cell>
          <cell r="M1091" t="str">
            <v>x</v>
          </cell>
          <cell r="N1091" t="e">
            <v>#N/A</v>
          </cell>
          <cell r="O1091" t="str">
            <v>Heavy Duty Band Wrench requires 1/2" drive tool. Used on 4 21/32 to 5 5/32" diamter filters.</v>
          </cell>
        </row>
        <row r="1092">
          <cell r="K1092" t="str">
            <v>LFF8270</v>
          </cell>
          <cell r="L1092" t="str">
            <v>HD</v>
          </cell>
          <cell r="M1092" t="str">
            <v>x</v>
          </cell>
          <cell r="N1092" t="e">
            <v>#N/A</v>
          </cell>
          <cell r="O1092" t="str">
            <v>Spin-on Fuel Water Separator Filter</v>
          </cell>
        </row>
        <row r="1093">
          <cell r="K1093" t="str">
            <v>LAF852</v>
          </cell>
          <cell r="L1093" t="str">
            <v>HD</v>
          </cell>
          <cell r="M1093" t="str">
            <v>x</v>
          </cell>
          <cell r="N1093" t="e">
            <v>#N/A</v>
          </cell>
          <cell r="O1093" t="str">
            <v>HD Metal-End Air Filter</v>
          </cell>
        </row>
        <row r="1094">
          <cell r="K1094" t="str">
            <v>LFF9519</v>
          </cell>
          <cell r="L1094" t="str">
            <v>HD</v>
          </cell>
          <cell r="M1094" t="str">
            <v>x</v>
          </cell>
          <cell r="N1094" t="e">
            <v>#N/A</v>
          </cell>
          <cell r="O1094" t="str">
            <v>Spin-on Fuel Water Separator Filter</v>
          </cell>
        </row>
        <row r="1095">
          <cell r="K1095" t="str">
            <v>LAF8044</v>
          </cell>
          <cell r="L1095" t="str">
            <v>HD</v>
          </cell>
          <cell r="M1095" t="str">
            <v>x</v>
          </cell>
          <cell r="N1095" t="e">
            <v>#N/A</v>
          </cell>
          <cell r="O1095" t="str">
            <v>Cone Shaped Conical Air Filter</v>
          </cell>
        </row>
        <row r="1096">
          <cell r="K1096" t="str">
            <v>ZINC</v>
          </cell>
          <cell r="L1096" t="str">
            <v>HD</v>
          </cell>
          <cell r="M1096" t="str">
            <v>x</v>
          </cell>
          <cell r="N1096" t="e">
            <v>#N/A</v>
          </cell>
          <cell r="O1096" t="str">
            <v>Hollow Bolt, Outlet/500B, C, 750-B &amp; C, CT</v>
          </cell>
        </row>
        <row r="1097">
          <cell r="K1097" t="str">
            <v>LAF853</v>
          </cell>
          <cell r="L1097" t="str">
            <v>HD</v>
          </cell>
          <cell r="M1097" t="str">
            <v>x</v>
          </cell>
          <cell r="N1097" t="e">
            <v>#N/A</v>
          </cell>
          <cell r="O1097" t="str">
            <v>HD Metal-End Air Filter</v>
          </cell>
        </row>
        <row r="1098">
          <cell r="K1098" t="str">
            <v>LAF5720</v>
          </cell>
          <cell r="L1098" t="str">
            <v>HD</v>
          </cell>
          <cell r="M1098" t="str">
            <v>x</v>
          </cell>
          <cell r="N1098" t="e">
            <v>#N/A</v>
          </cell>
          <cell r="O1098" t="str">
            <v>Radial Seal Inner Air Filter</v>
          </cell>
        </row>
        <row r="1099">
          <cell r="K1099" t="str">
            <v>LAF5866</v>
          </cell>
          <cell r="L1099" t="str">
            <v>HD</v>
          </cell>
          <cell r="M1099" t="str">
            <v>x</v>
          </cell>
          <cell r="N1099" t="e">
            <v>#N/A</v>
          </cell>
          <cell r="O1099" t="str">
            <v>Rigid Panel Air Filter</v>
          </cell>
        </row>
        <row r="1100">
          <cell r="K1100" t="str">
            <v>LAF8628</v>
          </cell>
          <cell r="L1100" t="str">
            <v>HD</v>
          </cell>
          <cell r="M1100" t="str">
            <v>x</v>
          </cell>
          <cell r="N1100" t="e">
            <v>#N/A</v>
          </cell>
          <cell r="O1100" t="str">
            <v>Panel Air Filter</v>
          </cell>
        </row>
        <row r="1101">
          <cell r="K1101" t="str">
            <v>LFP5963</v>
          </cell>
          <cell r="L1101" t="str">
            <v>HD</v>
          </cell>
          <cell r="M1101" t="str">
            <v>x</v>
          </cell>
          <cell r="N1101" t="e">
            <v>#N/A</v>
          </cell>
          <cell r="O1101" t="str">
            <v>Spin-on Oil Filter</v>
          </cell>
        </row>
        <row r="1102">
          <cell r="K1102" t="str">
            <v>LK237M</v>
          </cell>
          <cell r="L1102" t="str">
            <v>HD</v>
          </cell>
          <cell r="M1102" t="str">
            <v>x</v>
          </cell>
          <cell r="N1102" t="e">
            <v>#N/A</v>
          </cell>
          <cell r="O1102" t="str">
            <v>Mack Engine Maintenance Kit</v>
          </cell>
        </row>
        <row r="1103">
          <cell r="K1103" t="str">
            <v>LP32</v>
          </cell>
          <cell r="L1103" t="str">
            <v>HD</v>
          </cell>
          <cell r="M1103" t="str">
            <v>x</v>
          </cell>
          <cell r="N1103" t="e">
            <v>#N/A</v>
          </cell>
          <cell r="O1103" t="str">
            <v>Cartridge Oil Filter</v>
          </cell>
        </row>
        <row r="1104">
          <cell r="K1104" t="str">
            <v>LAF519</v>
          </cell>
          <cell r="L1104" t="str">
            <v>HD</v>
          </cell>
          <cell r="M1104" t="str">
            <v>x</v>
          </cell>
          <cell r="N1104" t="e">
            <v>#N/A</v>
          </cell>
          <cell r="O1104" t="str">
            <v>Rigid Panel Air Filter</v>
          </cell>
        </row>
        <row r="1105">
          <cell r="K1105" t="str">
            <v>LAF8955</v>
          </cell>
          <cell r="L1105" t="str">
            <v>HD</v>
          </cell>
          <cell r="M1105" t="str">
            <v>x</v>
          </cell>
          <cell r="N1105" t="e">
            <v>#N/A</v>
          </cell>
          <cell r="O1105" t="str">
            <v>Metal-End Air Filter with Closed Top End Cap</v>
          </cell>
        </row>
        <row r="1106">
          <cell r="K1106" t="str">
            <v>LAF5827</v>
          </cell>
          <cell r="L1106" t="str">
            <v>HD</v>
          </cell>
          <cell r="M1106" t="str">
            <v>x</v>
          </cell>
          <cell r="N1106" t="e">
            <v>#N/A</v>
          </cell>
          <cell r="O1106" t="str">
            <v>Round Air Filter</v>
          </cell>
        </row>
        <row r="1107">
          <cell r="K1107" t="str">
            <v>LAF8671</v>
          </cell>
          <cell r="L1107" t="str">
            <v>HD</v>
          </cell>
          <cell r="M1107" t="str">
            <v>x</v>
          </cell>
          <cell r="N1107" t="e">
            <v>#N/A</v>
          </cell>
          <cell r="O1107" t="str">
            <v>Disposible Housing Air Filter</v>
          </cell>
        </row>
        <row r="1108">
          <cell r="K1108" t="str">
            <v>LAF3948</v>
          </cell>
          <cell r="L1108" t="str">
            <v>HD</v>
          </cell>
          <cell r="M1108" t="str">
            <v>x</v>
          </cell>
          <cell r="N1108" t="e">
            <v>#N/A</v>
          </cell>
          <cell r="O1108" t="str">
            <v>Radial Seal Inner Air Filter</v>
          </cell>
        </row>
        <row r="1109">
          <cell r="K1109" t="str">
            <v>LFF3477</v>
          </cell>
          <cell r="L1109" t="str">
            <v>HD</v>
          </cell>
          <cell r="M1109" t="str">
            <v>x</v>
          </cell>
          <cell r="N1109" t="e">
            <v>#N/A</v>
          </cell>
          <cell r="O1109" t="str">
            <v>Spin-on Fuel Water Separator Filter</v>
          </cell>
        </row>
        <row r="1110">
          <cell r="K1110" t="str">
            <v>LFP5919</v>
          </cell>
          <cell r="L1110" t="str">
            <v>HD</v>
          </cell>
          <cell r="M1110" t="str">
            <v>x</v>
          </cell>
          <cell r="N1110" t="e">
            <v>#N/A</v>
          </cell>
          <cell r="O1110" t="str">
            <v>Spin-on Oil Filter</v>
          </cell>
        </row>
        <row r="1111">
          <cell r="K1111" t="str">
            <v>LAF6029</v>
          </cell>
          <cell r="L1111" t="str">
            <v>HD</v>
          </cell>
          <cell r="M1111" t="str">
            <v>x</v>
          </cell>
          <cell r="N1111" t="e">
            <v>#N/A</v>
          </cell>
          <cell r="O1111" t="str">
            <v>Radial Seal Outer Air Filter</v>
          </cell>
        </row>
        <row r="1112">
          <cell r="K1112" t="str">
            <v>LFH3990-03</v>
          </cell>
          <cell r="L1112" t="str">
            <v>HD</v>
          </cell>
          <cell r="M1112" t="str">
            <v>x</v>
          </cell>
          <cell r="N1112" t="e">
            <v>#N/A</v>
          </cell>
          <cell r="O1112" t="str">
            <v>Spin-on Hydraulic Filter</v>
          </cell>
        </row>
        <row r="1113">
          <cell r="K1113" t="str">
            <v>LAF1804</v>
          </cell>
          <cell r="L1113" t="str">
            <v>HD</v>
          </cell>
          <cell r="M1113" t="str">
            <v>x</v>
          </cell>
          <cell r="N1113" t="e">
            <v>#N/A</v>
          </cell>
          <cell r="O1113" t="str">
            <v>HD Metal-End Air Filter with Attached Lid</v>
          </cell>
        </row>
        <row r="1114">
          <cell r="K1114" t="str">
            <v>LFF4511DPS</v>
          </cell>
          <cell r="L1114" t="str">
            <v>HD</v>
          </cell>
          <cell r="M1114" t="str">
            <v>x</v>
          </cell>
          <cell r="N1114" t="e">
            <v>#N/A</v>
          </cell>
          <cell r="O1114" t="str">
            <v>Fuel Dispensing Filter</v>
          </cell>
        </row>
        <row r="1115">
          <cell r="K1115" t="str">
            <v>LMB448</v>
          </cell>
          <cell r="L1115" t="str">
            <v>HD</v>
          </cell>
          <cell r="M1115" t="str">
            <v>x</v>
          </cell>
          <cell r="N1115" t="e">
            <v>#N/A</v>
          </cell>
          <cell r="O1115" t="str">
            <v>Base for LFP1652,LFH4209, or LFH22027.</v>
          </cell>
        </row>
        <row r="1116">
          <cell r="K1116" t="str">
            <v>LAF8408</v>
          </cell>
          <cell r="L1116" t="str">
            <v>HD</v>
          </cell>
          <cell r="M1116" t="str">
            <v>x</v>
          </cell>
          <cell r="N1116" t="e">
            <v>#N/A</v>
          </cell>
          <cell r="O1116" t="str">
            <v>HD Metal-End Inner Air Filter</v>
          </cell>
        </row>
        <row r="1117">
          <cell r="K1117" t="str">
            <v>LAF6632</v>
          </cell>
          <cell r="L1117" t="str">
            <v>HD</v>
          </cell>
          <cell r="M1117" t="str">
            <v>x</v>
          </cell>
          <cell r="N1117" t="e">
            <v>#N/A</v>
          </cell>
          <cell r="O1117" t="str">
            <v>HD Metal-End Air Filter</v>
          </cell>
        </row>
        <row r="1118">
          <cell r="K1118" t="str">
            <v>LFH8499</v>
          </cell>
          <cell r="L1118" t="str">
            <v>HD</v>
          </cell>
          <cell r="M1118" t="str">
            <v>x</v>
          </cell>
          <cell r="N1118" t="e">
            <v>#N/A</v>
          </cell>
          <cell r="O1118" t="str">
            <v>Spin-on Hydraulic Filter</v>
          </cell>
        </row>
        <row r="1119">
          <cell r="K1119" t="str">
            <v>LAF230</v>
          </cell>
          <cell r="L1119" t="str">
            <v>HD</v>
          </cell>
          <cell r="M1119" t="str">
            <v>x</v>
          </cell>
          <cell r="N1119" t="e">
            <v>#N/A</v>
          </cell>
          <cell r="O1119" t="str">
            <v>HD Metal-End Air Filter</v>
          </cell>
        </row>
        <row r="1120">
          <cell r="K1120" t="str">
            <v>LAF5416</v>
          </cell>
          <cell r="L1120" t="str">
            <v>HD</v>
          </cell>
          <cell r="M1120" t="str">
            <v>x</v>
          </cell>
          <cell r="N1120" t="e">
            <v>#N/A</v>
          </cell>
          <cell r="O1120" t="str">
            <v>Special Configuration Air Filter</v>
          </cell>
        </row>
        <row r="1121">
          <cell r="K1121" t="str">
            <v>LFF6965</v>
          </cell>
          <cell r="L1121" t="str">
            <v>HD</v>
          </cell>
          <cell r="M1121" t="str">
            <v>x</v>
          </cell>
          <cell r="N1121" t="e">
            <v>#N/A</v>
          </cell>
          <cell r="O1121" t="str">
            <v>Spin-on Fuel Filter</v>
          </cell>
        </row>
        <row r="1122">
          <cell r="K1122" t="str">
            <v>LAF262HD</v>
          </cell>
          <cell r="L1122" t="str">
            <v>HD</v>
          </cell>
          <cell r="M1122" t="str">
            <v>x</v>
          </cell>
          <cell r="N1122" t="e">
            <v>#N/A</v>
          </cell>
          <cell r="O1122" t="str">
            <v>HD Metal-End Air Filter</v>
          </cell>
        </row>
        <row r="1123">
          <cell r="K1123" t="str">
            <v>LFH8459</v>
          </cell>
          <cell r="L1123" t="str">
            <v>HD</v>
          </cell>
          <cell r="M1123" t="str">
            <v>x</v>
          </cell>
          <cell r="N1123" t="e">
            <v>#N/A</v>
          </cell>
          <cell r="O1123" t="str">
            <v>Spin-on Hydraulic Filter</v>
          </cell>
        </row>
        <row r="1124">
          <cell r="K1124" t="str">
            <v>LAF3664</v>
          </cell>
          <cell r="L1124" t="str">
            <v>HD</v>
          </cell>
          <cell r="M1124" t="str">
            <v>x</v>
          </cell>
          <cell r="N1124" t="e">
            <v>#N/A</v>
          </cell>
          <cell r="O1124" t="str">
            <v>Radial Seal Inner Air Filter</v>
          </cell>
        </row>
        <row r="1125">
          <cell r="K1125" t="str">
            <v>LAF8687</v>
          </cell>
          <cell r="L1125" t="str">
            <v>HD</v>
          </cell>
          <cell r="M1125" t="str">
            <v>x</v>
          </cell>
          <cell r="N1125" t="e">
            <v>#N/A</v>
          </cell>
          <cell r="O1125" t="str">
            <v>Radial Seal Outer Air Filter</v>
          </cell>
        </row>
        <row r="1126">
          <cell r="K1126" t="str">
            <v>LAF64</v>
          </cell>
          <cell r="L1126" t="str">
            <v>HD</v>
          </cell>
          <cell r="M1126" t="str">
            <v>x</v>
          </cell>
          <cell r="N1126" t="e">
            <v>#N/A</v>
          </cell>
          <cell r="O1126" t="str">
            <v>Tube Type Air Filter</v>
          </cell>
        </row>
        <row r="1127">
          <cell r="K1127" t="str">
            <v>LFP2312</v>
          </cell>
          <cell r="L1127" t="str">
            <v>HD</v>
          </cell>
          <cell r="M1127" t="str">
            <v>x</v>
          </cell>
          <cell r="N1127" t="e">
            <v>#N/A</v>
          </cell>
          <cell r="O1127" t="str">
            <v>Spin-on Oil Filter</v>
          </cell>
        </row>
        <row r="1128">
          <cell r="K1128" t="str">
            <v>LH4262</v>
          </cell>
          <cell r="L1128" t="str">
            <v>HD</v>
          </cell>
          <cell r="M1128" t="str">
            <v>x</v>
          </cell>
          <cell r="N1128" t="e">
            <v>#N/A</v>
          </cell>
          <cell r="O1128" t="str">
            <v>Cartridge Transmission (Hydraulic) Filter</v>
          </cell>
        </row>
        <row r="1129">
          <cell r="K1129" t="str">
            <v>LAF9972</v>
          </cell>
          <cell r="L1129" t="str">
            <v>HD</v>
          </cell>
          <cell r="M1129" t="str">
            <v>x</v>
          </cell>
          <cell r="N1129" t="e">
            <v>#N/A</v>
          </cell>
          <cell r="O1129" t="str">
            <v>Round Inner Air Filter with Flanged Endcap</v>
          </cell>
        </row>
        <row r="1130">
          <cell r="K1130" t="str">
            <v>LFH5936</v>
          </cell>
          <cell r="L1130" t="str">
            <v>HD</v>
          </cell>
          <cell r="M1130" t="str">
            <v>x</v>
          </cell>
          <cell r="N1130" t="e">
            <v>#N/A</v>
          </cell>
          <cell r="O1130" t="str">
            <v>Spin-on Hydraulic Filter</v>
          </cell>
        </row>
        <row r="1131">
          <cell r="K1131" t="str">
            <v>LAF2549</v>
          </cell>
          <cell r="L1131" t="str">
            <v>HD</v>
          </cell>
          <cell r="M1131" t="str">
            <v>x</v>
          </cell>
          <cell r="N1131" t="e">
            <v>#N/A</v>
          </cell>
          <cell r="O1131" t="str">
            <v>Round Air Filter</v>
          </cell>
        </row>
        <row r="1132">
          <cell r="K1132" t="str">
            <v>LH4248V</v>
          </cell>
          <cell r="L1132" t="str">
            <v>HD</v>
          </cell>
          <cell r="M1132" t="str">
            <v>x</v>
          </cell>
          <cell r="N1132" t="e">
            <v>#N/A</v>
          </cell>
          <cell r="O1132" t="str">
            <v>Cartridge Hydraulic Filter</v>
          </cell>
        </row>
        <row r="1133">
          <cell r="K1133" t="str">
            <v>FP862F</v>
          </cell>
          <cell r="L1133" t="str">
            <v>HD</v>
          </cell>
          <cell r="M1133" t="str">
            <v>x</v>
          </cell>
          <cell r="N1133" t="e">
            <v>#N/A</v>
          </cell>
          <cell r="O1133" t="str">
            <v>Spin-on Fuel Water Separator Filter</v>
          </cell>
        </row>
        <row r="1134">
          <cell r="K1134" t="str">
            <v>LFP9279</v>
          </cell>
          <cell r="L1134" t="str">
            <v>HD</v>
          </cell>
          <cell r="M1134" t="str">
            <v>x</v>
          </cell>
          <cell r="N1134" t="e">
            <v>#N/A</v>
          </cell>
          <cell r="O1134" t="str">
            <v>Spin-on Oil Filter</v>
          </cell>
        </row>
        <row r="1135">
          <cell r="K1135" t="str">
            <v>LAF4507</v>
          </cell>
          <cell r="L1135" t="str">
            <v>HD</v>
          </cell>
          <cell r="M1135" t="str">
            <v>x</v>
          </cell>
          <cell r="N1135" t="e">
            <v>#N/A</v>
          </cell>
          <cell r="O1135" t="str">
            <v>Radial Seal Outer Air Filter</v>
          </cell>
        </row>
        <row r="1136">
          <cell r="K1136" t="str">
            <v>LFH4386</v>
          </cell>
          <cell r="L1136" t="str">
            <v>HD</v>
          </cell>
          <cell r="M1136" t="str">
            <v>x</v>
          </cell>
          <cell r="N1136" t="e">
            <v>#N/A</v>
          </cell>
          <cell r="O1136" t="str">
            <v>Spin-on Hydraulic Filter</v>
          </cell>
        </row>
        <row r="1137">
          <cell r="K1137" t="str">
            <v>LAF3346</v>
          </cell>
          <cell r="L1137" t="str">
            <v>HD</v>
          </cell>
          <cell r="M1137" t="str">
            <v>x</v>
          </cell>
          <cell r="N1137" t="str">
            <v>LAF3346</v>
          </cell>
          <cell r="O1137" t="str">
            <v>Disposible Housing Air Filter</v>
          </cell>
        </row>
        <row r="1138">
          <cell r="K1138" t="str">
            <v>LH4266</v>
          </cell>
          <cell r="L1138" t="str">
            <v>HD</v>
          </cell>
          <cell r="M1138" t="str">
            <v>x</v>
          </cell>
          <cell r="N1138" t="e">
            <v>#N/A</v>
          </cell>
          <cell r="O1138" t="str">
            <v>Cartridge Hydraulic Filter</v>
          </cell>
        </row>
        <row r="1139">
          <cell r="K1139" t="str">
            <v>LAF323</v>
          </cell>
          <cell r="L1139" t="str">
            <v>HD</v>
          </cell>
          <cell r="M1139" t="str">
            <v>x</v>
          </cell>
          <cell r="N1139" t="e">
            <v>#N/A</v>
          </cell>
          <cell r="O1139" t="str">
            <v>HD Metal-End Air Filter-Inner</v>
          </cell>
        </row>
        <row r="1140">
          <cell r="K1140" t="str">
            <v>LP214</v>
          </cell>
          <cell r="L1140" t="str">
            <v>HD</v>
          </cell>
          <cell r="M1140" t="str">
            <v>x</v>
          </cell>
          <cell r="N1140" t="e">
            <v>#N/A</v>
          </cell>
          <cell r="O1140" t="str">
            <v>Cartridge Hydraulic Filter</v>
          </cell>
        </row>
        <row r="1141">
          <cell r="K1141" t="str">
            <v>LAF2513</v>
          </cell>
          <cell r="L1141" t="str">
            <v>HD</v>
          </cell>
          <cell r="M1141" t="str">
            <v>x</v>
          </cell>
          <cell r="N1141" t="e">
            <v>#N/A</v>
          </cell>
          <cell r="O1141" t="str">
            <v>Round Plastisol Air Filter</v>
          </cell>
        </row>
        <row r="1142">
          <cell r="K1142" t="str">
            <v>LFP3354</v>
          </cell>
          <cell r="L1142" t="str">
            <v>HD</v>
          </cell>
          <cell r="M1142" t="str">
            <v>x</v>
          </cell>
          <cell r="N1142" t="e">
            <v>#N/A</v>
          </cell>
          <cell r="O1142" t="str">
            <v>Spin-on Oil Filter</v>
          </cell>
        </row>
        <row r="1143">
          <cell r="K1143" t="str">
            <v>LAF8674</v>
          </cell>
          <cell r="L1143" t="str">
            <v>HD</v>
          </cell>
          <cell r="M1143" t="str">
            <v>x</v>
          </cell>
          <cell r="N1143" t="e">
            <v>#N/A</v>
          </cell>
          <cell r="O1143" t="str">
            <v>Round Inner Air Filter</v>
          </cell>
        </row>
        <row r="1144">
          <cell r="K1144" t="str">
            <v>LFP5522</v>
          </cell>
          <cell r="L1144" t="str">
            <v>HD</v>
          </cell>
          <cell r="M1144" t="str">
            <v>x</v>
          </cell>
          <cell r="N1144" t="e">
            <v>#N/A</v>
          </cell>
          <cell r="O1144" t="str">
            <v>Spin-on Oil Filter</v>
          </cell>
        </row>
        <row r="1145">
          <cell r="K1145" t="str">
            <v>L3546FC</v>
          </cell>
          <cell r="L1145" t="str">
            <v>HD</v>
          </cell>
          <cell r="M1145" t="str">
            <v>x</v>
          </cell>
          <cell r="N1145" t="e">
            <v>#N/A</v>
          </cell>
          <cell r="O1145" t="str">
            <v>Spin-on Fuel Water Separator Filter</v>
          </cell>
        </row>
        <row r="1146">
          <cell r="K1146" t="str">
            <v>LAF22084</v>
          </cell>
          <cell r="L1146" t="str">
            <v>HD</v>
          </cell>
          <cell r="M1146" t="str">
            <v>x</v>
          </cell>
          <cell r="N1146" t="e">
            <v>#N/A</v>
          </cell>
          <cell r="O1146" t="str">
            <v>Finned Vane Air Filter</v>
          </cell>
        </row>
        <row r="1147">
          <cell r="K1147" t="str">
            <v>LK292CA</v>
          </cell>
          <cell r="L1147" t="str">
            <v>HD</v>
          </cell>
          <cell r="M1147" t="str">
            <v>x</v>
          </cell>
          <cell r="N1147" t="e">
            <v>#N/A</v>
          </cell>
          <cell r="O1147" t="str">
            <v>Caterpillar Engine Maintenance Kit</v>
          </cell>
        </row>
        <row r="1148">
          <cell r="K1148" t="str">
            <v>LAF5327</v>
          </cell>
          <cell r="L1148" t="str">
            <v>HD</v>
          </cell>
          <cell r="M1148" t="str">
            <v>x</v>
          </cell>
          <cell r="N1148" t="e">
            <v>#N/A</v>
          </cell>
          <cell r="O1148" t="str">
            <v>Cabin Air Filter, Panel</v>
          </cell>
        </row>
        <row r="1149">
          <cell r="K1149" t="str">
            <v>LFP9000XL</v>
          </cell>
          <cell r="L1149" t="str">
            <v>HD</v>
          </cell>
          <cell r="O1149" t="str">
            <v>Spin-on Oil Filter (Extended Life)</v>
          </cell>
        </row>
        <row r="1150">
          <cell r="K1150" t="str">
            <v>LFH8593</v>
          </cell>
          <cell r="L1150" t="str">
            <v>HD</v>
          </cell>
          <cell r="M1150" t="str">
            <v>x</v>
          </cell>
          <cell r="N1150" t="e">
            <v>#N/A</v>
          </cell>
          <cell r="O1150" t="str">
            <v>Spin-on Hydraulic Filter</v>
          </cell>
        </row>
        <row r="1151">
          <cell r="K1151" t="str">
            <v>LAF6032</v>
          </cell>
          <cell r="L1151" t="str">
            <v>HD</v>
          </cell>
          <cell r="M1151" t="str">
            <v>x</v>
          </cell>
          <cell r="N1151" t="e">
            <v>#N/A</v>
          </cell>
          <cell r="O1151" t="str">
            <v>HD Metal-End Air Filter</v>
          </cell>
        </row>
        <row r="1152">
          <cell r="K1152" t="str">
            <v>CAF24010</v>
          </cell>
          <cell r="L1152" t="str">
            <v>HD</v>
          </cell>
          <cell r="M1152" t="str">
            <v>x</v>
          </cell>
          <cell r="N1152" t="e">
            <v>#N/A</v>
          </cell>
          <cell r="O1152" t="str">
            <v>Cabin Air Filter</v>
          </cell>
        </row>
        <row r="1153">
          <cell r="K1153" t="str">
            <v>LFP7314</v>
          </cell>
          <cell r="L1153" t="str">
            <v>HD</v>
          </cell>
          <cell r="M1153" t="str">
            <v>x</v>
          </cell>
          <cell r="N1153" t="e">
            <v>#N/A</v>
          </cell>
          <cell r="O1153" t="str">
            <v>Spin-on By-Pass Oil Filter</v>
          </cell>
        </row>
        <row r="1154">
          <cell r="K1154" t="str">
            <v>LAF5973</v>
          </cell>
          <cell r="L1154" t="str">
            <v>HD</v>
          </cell>
          <cell r="M1154" t="str">
            <v>x</v>
          </cell>
          <cell r="N1154" t="e">
            <v>#N/A</v>
          </cell>
          <cell r="O1154" t="str">
            <v>Radial Seal Air Filter, Primary</v>
          </cell>
        </row>
        <row r="1155">
          <cell r="K1155" t="str">
            <v>LAF22010</v>
          </cell>
          <cell r="L1155" t="str">
            <v>HD</v>
          </cell>
          <cell r="M1155" t="str">
            <v>x</v>
          </cell>
          <cell r="N1155" t="e">
            <v>#N/A</v>
          </cell>
          <cell r="O1155" t="str">
            <v>Disposible Housing Air Filter</v>
          </cell>
        </row>
        <row r="1156">
          <cell r="K1156" t="str">
            <v>LH8742</v>
          </cell>
          <cell r="L1156" t="str">
            <v>HD</v>
          </cell>
          <cell r="M1156" t="str">
            <v>x</v>
          </cell>
          <cell r="N1156" t="e">
            <v>#N/A</v>
          </cell>
          <cell r="O1156" t="str">
            <v>Cartridge Hydraulic Filter</v>
          </cell>
        </row>
        <row r="1157">
          <cell r="K1157" t="str">
            <v>LAF9300</v>
          </cell>
          <cell r="O1157" t="str">
            <v>Special Configuration Air Filter</v>
          </cell>
        </row>
        <row r="1158">
          <cell r="K1158" t="str">
            <v>LFF7687</v>
          </cell>
          <cell r="L1158" t="str">
            <v>HD</v>
          </cell>
          <cell r="M1158" t="str">
            <v>x</v>
          </cell>
          <cell r="N1158" t="e">
            <v>#N/A</v>
          </cell>
          <cell r="O1158" t="str">
            <v>Spin-on Fuel Filter</v>
          </cell>
        </row>
        <row r="1159">
          <cell r="K1159" t="str">
            <v>LAF2926</v>
          </cell>
          <cell r="L1159" t="str">
            <v>HD</v>
          </cell>
          <cell r="M1159" t="str">
            <v>x</v>
          </cell>
          <cell r="N1159" t="e">
            <v>#N/A</v>
          </cell>
          <cell r="O1159" t="str">
            <v>HD Metal-End Air Filter</v>
          </cell>
        </row>
        <row r="1160">
          <cell r="K1160" t="str">
            <v>LFH4950</v>
          </cell>
          <cell r="L1160" t="str">
            <v>HD</v>
          </cell>
          <cell r="M1160" t="str">
            <v>x</v>
          </cell>
          <cell r="N1160" t="e">
            <v>#N/A</v>
          </cell>
          <cell r="O1160" t="str">
            <v>Spin-on Hydraulic Filter</v>
          </cell>
        </row>
        <row r="1161">
          <cell r="K1161" t="str">
            <v>LAF5770</v>
          </cell>
          <cell r="L1161" t="str">
            <v>HD</v>
          </cell>
          <cell r="M1161" t="str">
            <v>x</v>
          </cell>
          <cell r="N1161" t="e">
            <v>#N/A</v>
          </cell>
          <cell r="O1161" t="str">
            <v>Radial Seal Outer Air Filter</v>
          </cell>
        </row>
        <row r="1162">
          <cell r="K1162" t="str">
            <v>LH5018</v>
          </cell>
          <cell r="L1162" t="str">
            <v>HD</v>
          </cell>
          <cell r="M1162" t="str">
            <v>x</v>
          </cell>
          <cell r="N1162" t="e">
            <v>#N/A</v>
          </cell>
          <cell r="O1162" t="str">
            <v>Cartridge Hydraulic Filter</v>
          </cell>
        </row>
        <row r="1163">
          <cell r="K1163" t="str">
            <v>LAF131</v>
          </cell>
          <cell r="L1163" t="str">
            <v>HD</v>
          </cell>
          <cell r="M1163" t="str">
            <v>x</v>
          </cell>
          <cell r="N1163" t="e">
            <v>#N/A</v>
          </cell>
          <cell r="O1163" t="str">
            <v>HD Metal-End Air Filter</v>
          </cell>
        </row>
        <row r="1164">
          <cell r="K1164" t="str">
            <v>LAF1989</v>
          </cell>
          <cell r="L1164" t="str">
            <v>HD</v>
          </cell>
          <cell r="M1164" t="str">
            <v>x</v>
          </cell>
          <cell r="N1164" t="str">
            <v>LAF1989</v>
          </cell>
          <cell r="O1164" t="str">
            <v>Round Air Filter</v>
          </cell>
        </row>
        <row r="1165">
          <cell r="K1165" t="str">
            <v>970C</v>
          </cell>
          <cell r="L1165" t="str">
            <v>HD</v>
          </cell>
          <cell r="M1165" t="str">
            <v>x</v>
          </cell>
          <cell r="N1165" t="e">
            <v>#N/A</v>
          </cell>
          <cell r="O1165" t="str">
            <v>970 housing only (Gray)</v>
          </cell>
        </row>
        <row r="1166">
          <cell r="K1166" t="str">
            <v>LFW2125</v>
          </cell>
          <cell r="L1166" t="str">
            <v>HD</v>
          </cell>
          <cell r="M1166" t="str">
            <v>x</v>
          </cell>
          <cell r="N1166" t="e">
            <v>#N/A</v>
          </cell>
          <cell r="O1166" t="str">
            <v>Controll Release Spin-on Coolant Filter</v>
          </cell>
        </row>
        <row r="1167">
          <cell r="K1167" t="str">
            <v>LFP6930</v>
          </cell>
          <cell r="L1167" t="str">
            <v>HD</v>
          </cell>
          <cell r="M1167" t="str">
            <v>x</v>
          </cell>
          <cell r="N1167" t="e">
            <v>#N/A</v>
          </cell>
          <cell r="O1167" t="str">
            <v>Spin-on Oil Filter</v>
          </cell>
        </row>
        <row r="1168">
          <cell r="K1168" t="str">
            <v>LH9264V</v>
          </cell>
          <cell r="L1168" t="str">
            <v>HD</v>
          </cell>
          <cell r="M1168" t="str">
            <v>x</v>
          </cell>
          <cell r="N1168" t="e">
            <v>#N/A</v>
          </cell>
          <cell r="O1168" t="str">
            <v>Industrial Cartridge Hydraulic Filter</v>
          </cell>
        </row>
        <row r="1169">
          <cell r="K1169" t="str">
            <v>LAF6510</v>
          </cell>
          <cell r="L1169" t="str">
            <v>HD</v>
          </cell>
          <cell r="M1169" t="str">
            <v>x</v>
          </cell>
          <cell r="N1169" t="e">
            <v>#N/A</v>
          </cell>
          <cell r="O1169" t="str">
            <v>HD Metal-End Air Filter</v>
          </cell>
        </row>
        <row r="1170">
          <cell r="K1170" t="str">
            <v>LAF1800</v>
          </cell>
          <cell r="L1170" t="str">
            <v>HD</v>
          </cell>
          <cell r="M1170" t="str">
            <v>x</v>
          </cell>
          <cell r="N1170" t="e">
            <v>#N/A</v>
          </cell>
          <cell r="O1170" t="str">
            <v>HD Metal-End Air Filter</v>
          </cell>
        </row>
        <row r="1171">
          <cell r="K1171" t="str">
            <v>LAF8630</v>
          </cell>
          <cell r="L1171" t="str">
            <v>HD</v>
          </cell>
          <cell r="M1171" t="str">
            <v>x</v>
          </cell>
          <cell r="N1171" t="e">
            <v>#N/A</v>
          </cell>
          <cell r="O1171" t="str">
            <v>Finned Vane Air Filter</v>
          </cell>
        </row>
        <row r="1172">
          <cell r="K1172" t="str">
            <v>LAF586</v>
          </cell>
          <cell r="L1172" t="str">
            <v>HD</v>
          </cell>
          <cell r="M1172" t="str">
            <v>x</v>
          </cell>
          <cell r="N1172" t="e">
            <v>#N/A</v>
          </cell>
          <cell r="O1172" t="str">
            <v>Round Air Filter</v>
          </cell>
        </row>
        <row r="1173">
          <cell r="K1173" t="str">
            <v>LFH8229</v>
          </cell>
          <cell r="L1173" t="str">
            <v>HD</v>
          </cell>
          <cell r="M1173" t="str">
            <v>x</v>
          </cell>
          <cell r="N1173" t="e">
            <v>#N/A</v>
          </cell>
          <cell r="O1173" t="str">
            <v>Spin-on Hydraulic Filter</v>
          </cell>
        </row>
        <row r="1174">
          <cell r="K1174" t="str">
            <v>LH4394</v>
          </cell>
          <cell r="L1174" t="str">
            <v>HD</v>
          </cell>
          <cell r="M1174" t="str">
            <v>x</v>
          </cell>
          <cell r="N1174" t="e">
            <v>#N/A</v>
          </cell>
          <cell r="O1174" t="str">
            <v>Cartridge Hydraulic Filter</v>
          </cell>
        </row>
        <row r="1175">
          <cell r="K1175" t="str">
            <v>LAF2514</v>
          </cell>
          <cell r="L1175" t="str">
            <v>HD</v>
          </cell>
          <cell r="M1175" t="str">
            <v>x</v>
          </cell>
          <cell r="N1175" t="e">
            <v>#N/A</v>
          </cell>
          <cell r="O1175" t="str">
            <v>HD Metal-End Air Filter</v>
          </cell>
        </row>
        <row r="1176">
          <cell r="K1176" t="str">
            <v>LAF1532</v>
          </cell>
          <cell r="L1176" t="str">
            <v>HD</v>
          </cell>
          <cell r="M1176" t="str">
            <v>x</v>
          </cell>
          <cell r="N1176" t="e">
            <v>#N/A</v>
          </cell>
          <cell r="O1176" t="str">
            <v>HD Metal-End Inner Air Filter</v>
          </cell>
        </row>
        <row r="1177">
          <cell r="K1177" t="str">
            <v>L9621F</v>
          </cell>
          <cell r="L1177" t="str">
            <v>HD</v>
          </cell>
          <cell r="M1177" t="str">
            <v>x</v>
          </cell>
          <cell r="N1177" t="e">
            <v>#N/A</v>
          </cell>
          <cell r="O1177" t="str">
            <v>Cartridge Fuel Filter</v>
          </cell>
        </row>
        <row r="1178">
          <cell r="K1178" t="str">
            <v>LFP2262</v>
          </cell>
          <cell r="L1178" t="str">
            <v>HD</v>
          </cell>
          <cell r="M1178" t="str">
            <v>x</v>
          </cell>
          <cell r="N1178" t="e">
            <v>#N/A</v>
          </cell>
          <cell r="O1178" t="str">
            <v>Spin-on By-Pass Oil Filter</v>
          </cell>
        </row>
        <row r="1179">
          <cell r="K1179" t="str">
            <v>LAF1889</v>
          </cell>
          <cell r="L1179" t="str">
            <v>HD</v>
          </cell>
          <cell r="M1179" t="str">
            <v>x</v>
          </cell>
          <cell r="N1179" t="e">
            <v>#N/A</v>
          </cell>
          <cell r="O1179" t="str">
            <v>HD Metal-End Air Filter</v>
          </cell>
        </row>
        <row r="1180">
          <cell r="K1180" t="str">
            <v>LAF5733</v>
          </cell>
          <cell r="L1180" t="str">
            <v>HD</v>
          </cell>
          <cell r="M1180" t="str">
            <v>x</v>
          </cell>
          <cell r="N1180" t="e">
            <v>#N/A</v>
          </cell>
          <cell r="O1180" t="str">
            <v>Radial Seal Outer Air Filter</v>
          </cell>
        </row>
        <row r="1181">
          <cell r="K1181" t="str">
            <v>LFP8416</v>
          </cell>
          <cell r="L1181" t="str">
            <v>HD</v>
          </cell>
          <cell r="M1181" t="str">
            <v>x</v>
          </cell>
          <cell r="N1181" t="e">
            <v>#N/A</v>
          </cell>
          <cell r="O1181" t="str">
            <v>Spin-on Oil Filter</v>
          </cell>
        </row>
        <row r="1182">
          <cell r="K1182" t="str">
            <v>LAF3716</v>
          </cell>
          <cell r="L1182" t="str">
            <v>HD</v>
          </cell>
          <cell r="M1182" t="str">
            <v>x</v>
          </cell>
          <cell r="N1182" t="e">
            <v>#N/A</v>
          </cell>
          <cell r="O1182" t="str">
            <v>HD Metal-End Air Filter</v>
          </cell>
        </row>
        <row r="1183">
          <cell r="K1183" t="str">
            <v>CAF12000XL</v>
          </cell>
          <cell r="L1183" t="str">
            <v>HD</v>
          </cell>
          <cell r="M1183" t="str">
            <v>x</v>
          </cell>
          <cell r="N1183" t="e">
            <v>#N/A</v>
          </cell>
          <cell r="O1183" t="str">
            <v>Cabin Air Filter (Carbon) Extreme Clean</v>
          </cell>
        </row>
        <row r="1184">
          <cell r="K1184" t="str">
            <v>LAF1909</v>
          </cell>
          <cell r="L1184" t="str">
            <v>HD</v>
          </cell>
          <cell r="M1184" t="str">
            <v>x</v>
          </cell>
          <cell r="N1184" t="e">
            <v>#N/A</v>
          </cell>
          <cell r="O1184" t="str">
            <v>Round Air Filter</v>
          </cell>
        </row>
        <row r="1185">
          <cell r="K1185" t="str">
            <v>LFP3200C</v>
          </cell>
          <cell r="L1185" t="str">
            <v>HD</v>
          </cell>
          <cell r="M1185" t="str">
            <v>x</v>
          </cell>
          <cell r="N1185" t="e">
            <v>#N/A</v>
          </cell>
          <cell r="O1185" t="str">
            <v>Spin-on Fuel Filter</v>
          </cell>
        </row>
        <row r="1186">
          <cell r="K1186">
            <v>3967</v>
          </cell>
          <cell r="L1186" t="str">
            <v>HD</v>
          </cell>
          <cell r="M1186" t="str">
            <v>x</v>
          </cell>
          <cell r="N1186" t="e">
            <v>#N/A</v>
          </cell>
          <cell r="O1186" t="str">
            <v>Gasket, Cummins Applied</v>
          </cell>
        </row>
        <row r="1187">
          <cell r="K1187" t="str">
            <v>L624FP</v>
          </cell>
          <cell r="L1187" t="str">
            <v>HD</v>
          </cell>
          <cell r="M1187" t="str">
            <v>x</v>
          </cell>
          <cell r="N1187" t="e">
            <v>#N/A</v>
          </cell>
          <cell r="O1187" t="str">
            <v>Cartridge Fuel Filter</v>
          </cell>
        </row>
        <row r="1188">
          <cell r="K1188" t="str">
            <v>FF2D-30</v>
          </cell>
          <cell r="L1188" t="str">
            <v>HD</v>
          </cell>
          <cell r="M1188" t="str">
            <v>x</v>
          </cell>
          <cell r="N1188" t="e">
            <v>#N/A</v>
          </cell>
          <cell r="O1188" t="str">
            <v>30 Micron Fuel Dispensing Filter</v>
          </cell>
        </row>
        <row r="1189">
          <cell r="K1189" t="str">
            <v>LAF6115</v>
          </cell>
          <cell r="L1189" t="str">
            <v>HD</v>
          </cell>
          <cell r="M1189" t="str">
            <v>x</v>
          </cell>
          <cell r="N1189" t="e">
            <v>#N/A</v>
          </cell>
          <cell r="O1189" t="str">
            <v>Radial Seal Inner Air Filter</v>
          </cell>
        </row>
        <row r="1190">
          <cell r="K1190">
            <v>750</v>
          </cell>
          <cell r="L1190" t="str">
            <v>HD</v>
          </cell>
          <cell r="M1190" t="str">
            <v>x</v>
          </cell>
          <cell r="N1190" t="e">
            <v>#N/A</v>
          </cell>
          <cell r="O1190" t="str">
            <v xml:space="preserve">Refining Filter Pack /750-C, 2C &amp; 3C, Hydraulic &amp; Mineral Oil </v>
          </cell>
        </row>
        <row r="1191">
          <cell r="K1191" t="str">
            <v>L3528F</v>
          </cell>
          <cell r="L1191" t="str">
            <v>HD</v>
          </cell>
          <cell r="M1191" t="str">
            <v>x</v>
          </cell>
          <cell r="N1191" t="e">
            <v>#N/A</v>
          </cell>
          <cell r="O1191" t="str">
            <v>Cartridge Fuel Filter</v>
          </cell>
        </row>
        <row r="1192">
          <cell r="K1192" t="str">
            <v>L541F</v>
          </cell>
          <cell r="L1192" t="str">
            <v>HD</v>
          </cell>
          <cell r="M1192" t="str">
            <v>x</v>
          </cell>
          <cell r="N1192" t="e">
            <v>#N/A</v>
          </cell>
          <cell r="O1192" t="str">
            <v>Cartridge Fuel Filter</v>
          </cell>
        </row>
        <row r="1193">
          <cell r="K1193" t="str">
            <v>LAF5813</v>
          </cell>
          <cell r="L1193" t="str">
            <v>HD</v>
          </cell>
          <cell r="M1193" t="str">
            <v>x</v>
          </cell>
          <cell r="N1193" t="e">
            <v>#N/A</v>
          </cell>
          <cell r="O1193" t="str">
            <v>Round Air Filter</v>
          </cell>
        </row>
        <row r="1194">
          <cell r="K1194" t="str">
            <v>FW7HD</v>
          </cell>
          <cell r="L1194" t="str">
            <v>HD</v>
          </cell>
          <cell r="M1194" t="str">
            <v>x</v>
          </cell>
          <cell r="N1194" t="e">
            <v>#N/A</v>
          </cell>
          <cell r="O1194" t="str">
            <v>Heavy Duty Band Wrench requires 1/2" drive tool. Used on 5 5/32" to 5 21/32" diameter filters.</v>
          </cell>
        </row>
        <row r="1195">
          <cell r="K1195" t="str">
            <v>LP213</v>
          </cell>
          <cell r="L1195" t="str">
            <v>HD</v>
          </cell>
          <cell r="M1195" t="str">
            <v>x</v>
          </cell>
          <cell r="N1195" t="e">
            <v>#N/A</v>
          </cell>
          <cell r="O1195" t="str">
            <v>Cartridge Hydraulic Filter</v>
          </cell>
        </row>
        <row r="1196">
          <cell r="K1196" t="str">
            <v>LAF6918D</v>
          </cell>
          <cell r="L1196" t="str">
            <v>HD</v>
          </cell>
          <cell r="M1196" t="str">
            <v>x</v>
          </cell>
          <cell r="N1196" t="e">
            <v>#N/A</v>
          </cell>
          <cell r="O1196" t="str">
            <v>HD Metal-End Air Filter</v>
          </cell>
        </row>
        <row r="1197">
          <cell r="K1197" t="str">
            <v>LAF936</v>
          </cell>
          <cell r="L1197" t="str">
            <v>HD</v>
          </cell>
          <cell r="M1197" t="str">
            <v>x</v>
          </cell>
          <cell r="N1197" t="e">
            <v>#N/A</v>
          </cell>
          <cell r="O1197" t="str">
            <v>HD Round Air Filter with Attached Boot</v>
          </cell>
        </row>
        <row r="1198">
          <cell r="K1198" t="str">
            <v>LFF9737U</v>
          </cell>
          <cell r="L1198" t="str">
            <v>HD</v>
          </cell>
          <cell r="M1198" t="str">
            <v>x</v>
          </cell>
          <cell r="N1198" t="e">
            <v>#N/A</v>
          </cell>
          <cell r="O1198" t="str">
            <v>Bowless Fuel Water Separator Filter</v>
          </cell>
        </row>
        <row r="1199">
          <cell r="K1199" t="str">
            <v>LH8094</v>
          </cell>
          <cell r="L1199" t="str">
            <v>HD</v>
          </cell>
          <cell r="M1199" t="str">
            <v>x</v>
          </cell>
          <cell r="N1199" t="e">
            <v>#N/A</v>
          </cell>
          <cell r="O1199" t="str">
            <v>Cartridge Hydraulic Filter</v>
          </cell>
        </row>
        <row r="1200">
          <cell r="K1200" t="str">
            <v>LH4174</v>
          </cell>
          <cell r="L1200" t="str">
            <v>HD</v>
          </cell>
          <cell r="M1200" t="str">
            <v>x</v>
          </cell>
          <cell r="N1200" t="e">
            <v>#N/A</v>
          </cell>
          <cell r="O1200" t="str">
            <v>Cartridge Hydraulic Filter</v>
          </cell>
        </row>
        <row r="1201">
          <cell r="K1201" t="str">
            <v>LAF1913</v>
          </cell>
          <cell r="L1201" t="str">
            <v>HD</v>
          </cell>
          <cell r="M1201" t="str">
            <v>x</v>
          </cell>
          <cell r="N1201" t="str">
            <v>LAF1913</v>
          </cell>
          <cell r="O1201" t="str">
            <v>Round Air Filter</v>
          </cell>
        </row>
        <row r="1202">
          <cell r="K1202" t="str">
            <v>LFH9393</v>
          </cell>
          <cell r="L1202" t="str">
            <v>HD</v>
          </cell>
          <cell r="M1202" t="str">
            <v>x</v>
          </cell>
          <cell r="N1202" t="e">
            <v>#N/A</v>
          </cell>
          <cell r="O1202" t="str">
            <v>Spin-on Hydraulic Filter</v>
          </cell>
        </row>
        <row r="1203">
          <cell r="K1203" t="str">
            <v>LFH5079G</v>
          </cell>
          <cell r="L1203" t="str">
            <v>HD</v>
          </cell>
          <cell r="M1203" t="str">
            <v>x</v>
          </cell>
          <cell r="N1203" t="e">
            <v>#N/A</v>
          </cell>
          <cell r="O1203" t="str">
            <v>Spin-on Hydraulic Filter</v>
          </cell>
        </row>
        <row r="1204">
          <cell r="K1204" t="str">
            <v>LFP2430</v>
          </cell>
          <cell r="L1204" t="str">
            <v>HD</v>
          </cell>
          <cell r="M1204" t="str">
            <v>x</v>
          </cell>
          <cell r="N1204" t="e">
            <v>#N/A</v>
          </cell>
          <cell r="O1204" t="str">
            <v>Spin-on Oil Filter</v>
          </cell>
        </row>
        <row r="1205">
          <cell r="K1205" t="str">
            <v>LAF2069</v>
          </cell>
          <cell r="L1205" t="str">
            <v>HD</v>
          </cell>
          <cell r="M1205" t="str">
            <v>x</v>
          </cell>
          <cell r="N1205" t="e">
            <v>#N/A</v>
          </cell>
          <cell r="O1205" t="str">
            <v>Metal-End Air Filter with Closed Top End Cap</v>
          </cell>
        </row>
        <row r="1206">
          <cell r="K1206" t="str">
            <v>LAF2</v>
          </cell>
          <cell r="L1206" t="str">
            <v>HD</v>
          </cell>
          <cell r="M1206" t="str">
            <v>x</v>
          </cell>
          <cell r="N1206" t="e">
            <v>#N/A</v>
          </cell>
          <cell r="O1206" t="str">
            <v>Round Air Filter</v>
          </cell>
        </row>
        <row r="1207">
          <cell r="K1207" t="str">
            <v>LAF5771</v>
          </cell>
          <cell r="L1207" t="str">
            <v>HD</v>
          </cell>
          <cell r="M1207" t="str">
            <v>x</v>
          </cell>
          <cell r="N1207" t="e">
            <v>#N/A</v>
          </cell>
          <cell r="O1207" t="str">
            <v>Radial Seal Air Filter Outer</v>
          </cell>
        </row>
        <row r="1208">
          <cell r="K1208" t="str">
            <v>LAF2052</v>
          </cell>
          <cell r="L1208" t="str">
            <v>HD</v>
          </cell>
          <cell r="M1208" t="str">
            <v>x</v>
          </cell>
          <cell r="N1208" t="e">
            <v>#N/A</v>
          </cell>
          <cell r="O1208" t="str">
            <v>HD Metal-End Air Filter</v>
          </cell>
        </row>
        <row r="1209">
          <cell r="K1209" t="str">
            <v>LAF3710</v>
          </cell>
          <cell r="L1209" t="str">
            <v>HD</v>
          </cell>
          <cell r="M1209" t="str">
            <v>x</v>
          </cell>
          <cell r="N1209" t="e">
            <v>#N/A</v>
          </cell>
          <cell r="O1209" t="str">
            <v>HD Metal-End Air Filter-Inner</v>
          </cell>
        </row>
        <row r="1210">
          <cell r="K1210" t="str">
            <v>LAF48</v>
          </cell>
          <cell r="L1210" t="str">
            <v>HD</v>
          </cell>
          <cell r="M1210" t="str">
            <v>x</v>
          </cell>
          <cell r="N1210" t="e">
            <v>#N/A</v>
          </cell>
          <cell r="O1210" t="str">
            <v>Round Inner Air Filter with Flanged Endcap</v>
          </cell>
        </row>
        <row r="1211">
          <cell r="K1211" t="str">
            <v>LAF1040</v>
          </cell>
          <cell r="L1211" t="str">
            <v>HD</v>
          </cell>
          <cell r="M1211" t="str">
            <v>x</v>
          </cell>
          <cell r="N1211" t="e">
            <v>#N/A</v>
          </cell>
          <cell r="O1211" t="str">
            <v>HD Metal-End Air Filter</v>
          </cell>
        </row>
        <row r="1212">
          <cell r="K1212" t="str">
            <v>LH4939</v>
          </cell>
          <cell r="L1212" t="str">
            <v>HD</v>
          </cell>
          <cell r="M1212" t="str">
            <v>x</v>
          </cell>
          <cell r="N1212" t="e">
            <v>#N/A</v>
          </cell>
          <cell r="O1212" t="str">
            <v>Cartridge Hydraulic Filter</v>
          </cell>
        </row>
        <row r="1213">
          <cell r="K1213" t="str">
            <v>FW8HD</v>
          </cell>
          <cell r="L1213" t="str">
            <v>HD</v>
          </cell>
          <cell r="M1213" t="str">
            <v>x</v>
          </cell>
          <cell r="N1213" t="e">
            <v>#N/A</v>
          </cell>
          <cell r="O1213" t="str">
            <v>Nylon Strap Wrench for up to 6 inch Diameter Filters. Requires 1/2 drive tool.</v>
          </cell>
        </row>
        <row r="1214">
          <cell r="K1214" t="str">
            <v>LH9167</v>
          </cell>
          <cell r="L1214" t="str">
            <v>HD</v>
          </cell>
          <cell r="M1214" t="str">
            <v>x</v>
          </cell>
          <cell r="N1214" t="e">
            <v>#N/A</v>
          </cell>
          <cell r="O1214" t="str">
            <v>Cartridge hydraulic filter</v>
          </cell>
        </row>
        <row r="1215">
          <cell r="K1215" t="str">
            <v>LFF906</v>
          </cell>
          <cell r="L1215" t="str">
            <v>HD</v>
          </cell>
          <cell r="M1215" t="str">
            <v>x</v>
          </cell>
          <cell r="N1215" t="e">
            <v>#N/A</v>
          </cell>
          <cell r="O1215" t="str">
            <v>Bowl Style Fuel Water Separator Filter</v>
          </cell>
        </row>
        <row r="1216">
          <cell r="K1216" t="str">
            <v>LFF3509</v>
          </cell>
          <cell r="L1216" t="str">
            <v>HD</v>
          </cell>
          <cell r="M1216" t="str">
            <v>x</v>
          </cell>
          <cell r="N1216" t="e">
            <v>#N/A</v>
          </cell>
          <cell r="O1216" t="str">
            <v>Cartridge Fuel Filter</v>
          </cell>
        </row>
        <row r="1217">
          <cell r="K1217" t="str">
            <v>LFP2213</v>
          </cell>
          <cell r="L1217" t="str">
            <v>HD</v>
          </cell>
          <cell r="M1217" t="str">
            <v>x</v>
          </cell>
          <cell r="N1217" t="e">
            <v>#N/A</v>
          </cell>
          <cell r="O1217" t="str">
            <v>Spin-on Oil Filter</v>
          </cell>
        </row>
        <row r="1218">
          <cell r="K1218" t="str">
            <v>LFH22043</v>
          </cell>
          <cell r="L1218" t="str">
            <v>HD</v>
          </cell>
          <cell r="M1218" t="str">
            <v>x</v>
          </cell>
          <cell r="N1218" t="e">
            <v>#N/A</v>
          </cell>
          <cell r="O1218" t="str">
            <v>Spin-on Hydraulic Filter</v>
          </cell>
        </row>
        <row r="1219">
          <cell r="K1219" t="str">
            <v>L22008F</v>
          </cell>
          <cell r="L1219" t="str">
            <v>HD</v>
          </cell>
          <cell r="M1219" t="str">
            <v>x</v>
          </cell>
          <cell r="N1219" t="e">
            <v>#N/A</v>
          </cell>
          <cell r="O1219" t="str">
            <v>Fuel/Water Coalescer Cartridge Filter</v>
          </cell>
        </row>
        <row r="1220">
          <cell r="K1220" t="str">
            <v>LFF4294</v>
          </cell>
          <cell r="L1220" t="str">
            <v>HD</v>
          </cell>
          <cell r="M1220" t="str">
            <v>x</v>
          </cell>
          <cell r="N1220" t="e">
            <v>#N/A</v>
          </cell>
          <cell r="O1220" t="str">
            <v>Spin-on Fuel Water Separator Filter</v>
          </cell>
        </row>
        <row r="1221">
          <cell r="K1221" t="str">
            <v>LAF1917</v>
          </cell>
          <cell r="L1221" t="str">
            <v>HD</v>
          </cell>
          <cell r="M1221" t="str">
            <v>x</v>
          </cell>
          <cell r="N1221" t="e">
            <v>#N/A</v>
          </cell>
          <cell r="O1221" t="str">
            <v>HD Metal-End Air Filter</v>
          </cell>
        </row>
        <row r="1222">
          <cell r="K1222" t="str">
            <v>LAF8225</v>
          </cell>
          <cell r="L1222" t="str">
            <v>HD</v>
          </cell>
          <cell r="M1222" t="str">
            <v>x</v>
          </cell>
          <cell r="N1222" t="e">
            <v>#N/A</v>
          </cell>
          <cell r="O1222" t="str">
            <v>Finned Vane Air Filter</v>
          </cell>
        </row>
        <row r="1223">
          <cell r="K1223" t="str">
            <v>BAGGED</v>
          </cell>
          <cell r="L1223" t="str">
            <v>HD</v>
          </cell>
          <cell r="M1223" t="str">
            <v>x</v>
          </cell>
          <cell r="N1223" t="e">
            <v>#N/A</v>
          </cell>
          <cell r="O1223" t="str">
            <v>No. 4 Orifice Opening size is .062 ; Flow rate is .6 GPM</v>
          </cell>
        </row>
        <row r="1224">
          <cell r="K1224" t="str">
            <v>LH22033</v>
          </cell>
          <cell r="L1224" t="str">
            <v>HD</v>
          </cell>
          <cell r="M1224" t="str">
            <v>x</v>
          </cell>
          <cell r="N1224" t="e">
            <v>#N/A</v>
          </cell>
          <cell r="O1224" t="str">
            <v>Cartridge Hydraulic Filter</v>
          </cell>
        </row>
        <row r="1225">
          <cell r="K1225" t="str">
            <v>L8105F</v>
          </cell>
          <cell r="L1225" t="str">
            <v>HD</v>
          </cell>
          <cell r="M1225" t="str">
            <v>x</v>
          </cell>
          <cell r="N1225" t="e">
            <v>#N/A</v>
          </cell>
          <cell r="O1225" t="str">
            <v>Cartridge Fuel Filter</v>
          </cell>
        </row>
        <row r="1226">
          <cell r="K1226" t="str">
            <v>LAF8549</v>
          </cell>
          <cell r="L1226" t="str">
            <v>HD</v>
          </cell>
          <cell r="M1226" t="str">
            <v>x</v>
          </cell>
          <cell r="N1226" t="e">
            <v>#N/A</v>
          </cell>
          <cell r="O1226" t="str">
            <v>HD Metal-End Inner Air Filter</v>
          </cell>
        </row>
        <row r="1227">
          <cell r="K1227" t="str">
            <v>LAF8085</v>
          </cell>
          <cell r="L1227" t="str">
            <v>HD</v>
          </cell>
          <cell r="M1227" t="str">
            <v>x</v>
          </cell>
          <cell r="N1227" t="e">
            <v>#N/A</v>
          </cell>
          <cell r="O1227" t="str">
            <v>Radial Seal Air Filter (Primary)</v>
          </cell>
        </row>
        <row r="1228">
          <cell r="K1228" t="str">
            <v>LAF5783</v>
          </cell>
          <cell r="L1228" t="str">
            <v>HD</v>
          </cell>
          <cell r="M1228" t="str">
            <v>x</v>
          </cell>
          <cell r="N1228" t="e">
            <v>#N/A</v>
          </cell>
          <cell r="O1228" t="str">
            <v>Radial Seal Outer Air Filter</v>
          </cell>
        </row>
        <row r="1229">
          <cell r="K1229" t="str">
            <v>LFF9011</v>
          </cell>
          <cell r="L1229" t="str">
            <v>HD</v>
          </cell>
          <cell r="M1229" t="str">
            <v>x</v>
          </cell>
          <cell r="N1229" t="e">
            <v>#N/A</v>
          </cell>
          <cell r="O1229" t="str">
            <v>Bowl Style Fuel Water Separator Filter</v>
          </cell>
        </row>
        <row r="1230">
          <cell r="K1230" t="str">
            <v>LAF1734</v>
          </cell>
          <cell r="L1230" t="str">
            <v>HD</v>
          </cell>
          <cell r="M1230" t="str">
            <v>x</v>
          </cell>
          <cell r="N1230" t="e">
            <v>#N/A</v>
          </cell>
          <cell r="O1230" t="str">
            <v>Finned Vane Air Filter</v>
          </cell>
        </row>
        <row r="1231">
          <cell r="K1231" t="str">
            <v>LFF5950</v>
          </cell>
          <cell r="L1231" t="str">
            <v>HD</v>
          </cell>
          <cell r="M1231" t="str">
            <v>x</v>
          </cell>
          <cell r="N1231" t="e">
            <v>#N/A</v>
          </cell>
          <cell r="O1231" t="str">
            <v>Spin-on Fuel Water Separator Filter</v>
          </cell>
        </row>
        <row r="1232">
          <cell r="K1232" t="str">
            <v>LAF9092</v>
          </cell>
          <cell r="L1232" t="str">
            <v>HD</v>
          </cell>
          <cell r="M1232" t="str">
            <v>x</v>
          </cell>
          <cell r="N1232" t="e">
            <v>#N/A</v>
          </cell>
          <cell r="O1232" t="str">
            <v>Panel Air Filter Metal Framed</v>
          </cell>
        </row>
        <row r="1233">
          <cell r="K1233" t="str">
            <v>LH4905</v>
          </cell>
          <cell r="L1233" t="str">
            <v>HD</v>
          </cell>
          <cell r="M1233" t="str">
            <v>x</v>
          </cell>
          <cell r="N1233" t="e">
            <v>#N/A</v>
          </cell>
          <cell r="O1233" t="str">
            <v>Cartridge Hydraulic Filter</v>
          </cell>
        </row>
        <row r="1234">
          <cell r="K1234" t="str">
            <v>LFP7075</v>
          </cell>
          <cell r="L1234" t="str">
            <v>HD</v>
          </cell>
          <cell r="M1234" t="str">
            <v>x</v>
          </cell>
          <cell r="N1234" t="e">
            <v>#N/A</v>
          </cell>
          <cell r="O1234" t="str">
            <v>Spin-on Oil Filter</v>
          </cell>
        </row>
        <row r="1235">
          <cell r="K1235" t="str">
            <v>LAF8392</v>
          </cell>
          <cell r="L1235" t="str">
            <v>HD</v>
          </cell>
          <cell r="M1235" t="str">
            <v>x</v>
          </cell>
          <cell r="N1235" t="e">
            <v>#N/A</v>
          </cell>
          <cell r="O1235" t="str">
            <v>HD Metal-End Inner Air Filter</v>
          </cell>
        </row>
        <row r="1236">
          <cell r="K1236" t="str">
            <v>LH8489G</v>
          </cell>
          <cell r="L1236" t="str">
            <v>HD</v>
          </cell>
          <cell r="M1236" t="str">
            <v>x</v>
          </cell>
          <cell r="N1236" t="e">
            <v>#N/A</v>
          </cell>
          <cell r="O1236" t="str">
            <v>Cartridge Hydraulic Filter</v>
          </cell>
        </row>
        <row r="1237">
          <cell r="K1237" t="str">
            <v>LAF1924</v>
          </cell>
          <cell r="L1237" t="str">
            <v>HD</v>
          </cell>
          <cell r="M1237" t="str">
            <v>x</v>
          </cell>
          <cell r="N1237" t="e">
            <v>#N/A</v>
          </cell>
          <cell r="O1237" t="str">
            <v>Finned Vane Air Filter</v>
          </cell>
        </row>
        <row r="1238">
          <cell r="K1238" t="str">
            <v>LH4931</v>
          </cell>
          <cell r="L1238" t="str">
            <v>HD</v>
          </cell>
          <cell r="M1238" t="str">
            <v>x</v>
          </cell>
          <cell r="N1238" t="e">
            <v>#N/A</v>
          </cell>
          <cell r="O1238" t="str">
            <v>Cartridge Hydraulic Filter</v>
          </cell>
        </row>
        <row r="1239">
          <cell r="K1239" t="str">
            <v>LAF8625</v>
          </cell>
          <cell r="L1239" t="str">
            <v>HD</v>
          </cell>
          <cell r="M1239" t="str">
            <v>x</v>
          </cell>
          <cell r="N1239" t="str">
            <v>LAF8625</v>
          </cell>
          <cell r="O1239" t="str">
            <v>Round Air Filter</v>
          </cell>
        </row>
        <row r="1240">
          <cell r="K1240" t="str">
            <v>LAF5516</v>
          </cell>
          <cell r="L1240" t="str">
            <v>HD</v>
          </cell>
          <cell r="M1240" t="str">
            <v>x</v>
          </cell>
          <cell r="N1240" t="e">
            <v>#N/A</v>
          </cell>
          <cell r="O1240" t="str">
            <v>HD Metal-End Air Filter</v>
          </cell>
        </row>
        <row r="1241">
          <cell r="K1241" t="str">
            <v>LAF2612</v>
          </cell>
          <cell r="L1241" t="str">
            <v>HD</v>
          </cell>
          <cell r="M1241" t="str">
            <v>x</v>
          </cell>
          <cell r="N1241" t="e">
            <v>#N/A</v>
          </cell>
          <cell r="O1241" t="str">
            <v>HD Metal-End Air Filter</v>
          </cell>
        </row>
        <row r="1242">
          <cell r="K1242" t="str">
            <v>LFP2230</v>
          </cell>
          <cell r="L1242" t="str">
            <v>HD</v>
          </cell>
          <cell r="M1242" t="str">
            <v>x</v>
          </cell>
          <cell r="N1242" t="e">
            <v>#N/A</v>
          </cell>
          <cell r="O1242" t="str">
            <v>Spin-on Oil Filter</v>
          </cell>
        </row>
        <row r="1243">
          <cell r="K1243" t="str">
            <v>LFH4407</v>
          </cell>
          <cell r="L1243" t="str">
            <v>HD</v>
          </cell>
          <cell r="M1243" t="str">
            <v>x</v>
          </cell>
          <cell r="N1243" t="e">
            <v>#N/A</v>
          </cell>
          <cell r="O1243" t="str">
            <v>Spin-on Hydraulic Filter</v>
          </cell>
        </row>
        <row r="1244">
          <cell r="K1244" t="str">
            <v>LFF9002</v>
          </cell>
          <cell r="L1244" t="str">
            <v>HD</v>
          </cell>
          <cell r="M1244" t="str">
            <v>x</v>
          </cell>
          <cell r="N1244" t="e">
            <v>#N/A</v>
          </cell>
          <cell r="O1244" t="str">
            <v>Bowl Style Fuel Water Separator Filter</v>
          </cell>
        </row>
        <row r="1245">
          <cell r="K1245" t="str">
            <v>LK1MA</v>
          </cell>
          <cell r="L1245" t="str">
            <v>HD</v>
          </cell>
          <cell r="M1245" t="str">
            <v>x</v>
          </cell>
          <cell r="N1245" t="e">
            <v>#N/A</v>
          </cell>
          <cell r="O1245" t="str">
            <v>Mack Engine Maintenance Kit</v>
          </cell>
        </row>
        <row r="1246">
          <cell r="K1246" t="str">
            <v>LAF1591</v>
          </cell>
          <cell r="L1246" t="str">
            <v>HD</v>
          </cell>
          <cell r="M1246" t="str">
            <v>x</v>
          </cell>
          <cell r="N1246" t="e">
            <v>#N/A</v>
          </cell>
          <cell r="O1246" t="str">
            <v>Metal-End Air Filter with Closed Top End Cap</v>
          </cell>
        </row>
        <row r="1247">
          <cell r="K1247" t="str">
            <v>LFH4210</v>
          </cell>
          <cell r="L1247" t="str">
            <v>HD</v>
          </cell>
          <cell r="M1247" t="str">
            <v>x</v>
          </cell>
          <cell r="N1247" t="e">
            <v>#N/A</v>
          </cell>
          <cell r="O1247" t="str">
            <v>Spin-on Hydraulic Filter</v>
          </cell>
        </row>
        <row r="1248">
          <cell r="K1248" t="str">
            <v>LFH6197</v>
          </cell>
          <cell r="L1248" t="str">
            <v>HD</v>
          </cell>
          <cell r="M1248" t="str">
            <v>x</v>
          </cell>
          <cell r="N1248" t="e">
            <v>#N/A</v>
          </cell>
          <cell r="O1248" t="str">
            <v>Spin-on Hydraulic Filter</v>
          </cell>
        </row>
        <row r="1249">
          <cell r="K1249" t="str">
            <v>LFH8204</v>
          </cell>
          <cell r="L1249" t="str">
            <v>HD</v>
          </cell>
          <cell r="M1249" t="str">
            <v>x</v>
          </cell>
          <cell r="N1249" t="e">
            <v>#N/A</v>
          </cell>
          <cell r="O1249" t="str">
            <v>Spin-on Hydraulic Filter</v>
          </cell>
        </row>
        <row r="1250">
          <cell r="K1250" t="str">
            <v>LAF1811</v>
          </cell>
          <cell r="L1250" t="str">
            <v>HD</v>
          </cell>
          <cell r="M1250" t="str">
            <v>x</v>
          </cell>
          <cell r="N1250" t="e">
            <v>#N/A</v>
          </cell>
          <cell r="O1250" t="str">
            <v>HD Round Air Filter with Attached Boot</v>
          </cell>
        </row>
        <row r="1251">
          <cell r="K1251" t="str">
            <v>LAF7313</v>
          </cell>
          <cell r="L1251" t="str">
            <v>HD</v>
          </cell>
          <cell r="M1251" t="str">
            <v>x</v>
          </cell>
          <cell r="N1251" t="e">
            <v>#N/A</v>
          </cell>
          <cell r="O1251" t="str">
            <v>HD Metal-End Inner Air Filter</v>
          </cell>
        </row>
        <row r="1252">
          <cell r="K1252" t="str">
            <v>LH5953</v>
          </cell>
          <cell r="L1252" t="str">
            <v>HD</v>
          </cell>
          <cell r="M1252" t="str">
            <v>x</v>
          </cell>
          <cell r="N1252" t="e">
            <v>#N/A</v>
          </cell>
          <cell r="O1252" t="str">
            <v>Cartridge Hydraulic Filter</v>
          </cell>
        </row>
        <row r="1253">
          <cell r="K1253" t="str">
            <v>LFP8925</v>
          </cell>
          <cell r="L1253" t="str">
            <v>HD</v>
          </cell>
          <cell r="M1253" t="str">
            <v>x</v>
          </cell>
          <cell r="N1253" t="e">
            <v>#N/A</v>
          </cell>
          <cell r="O1253" t="str">
            <v>Spin-on Oil Filter</v>
          </cell>
        </row>
        <row r="1254">
          <cell r="K1254" t="str">
            <v>LAF3717</v>
          </cell>
          <cell r="L1254" t="str">
            <v>HD</v>
          </cell>
          <cell r="M1254" t="str">
            <v>x</v>
          </cell>
          <cell r="N1254" t="e">
            <v>#N/A</v>
          </cell>
          <cell r="O1254" t="str">
            <v>HD Round Air Filter with Attached Boot</v>
          </cell>
        </row>
        <row r="1255">
          <cell r="K1255" t="str">
            <v>LFH5323</v>
          </cell>
          <cell r="L1255" t="str">
            <v>HD</v>
          </cell>
          <cell r="M1255" t="str">
            <v>x</v>
          </cell>
          <cell r="N1255" t="e">
            <v>#N/A</v>
          </cell>
          <cell r="O1255" t="str">
            <v>Spin-on Hydraulic Filter</v>
          </cell>
        </row>
        <row r="1256">
          <cell r="K1256" t="str">
            <v>LFF5926</v>
          </cell>
          <cell r="L1256" t="str">
            <v>HD</v>
          </cell>
          <cell r="M1256" t="str">
            <v>x</v>
          </cell>
          <cell r="N1256" t="e">
            <v>#N/A</v>
          </cell>
          <cell r="O1256" t="str">
            <v>Spin-on Fuel Water Separator Filter</v>
          </cell>
        </row>
        <row r="1257">
          <cell r="K1257" t="str">
            <v>LH22019</v>
          </cell>
          <cell r="L1257" t="str">
            <v>HD</v>
          </cell>
          <cell r="M1257" t="str">
            <v>x</v>
          </cell>
          <cell r="N1257" t="e">
            <v>#N/A</v>
          </cell>
          <cell r="O1257" t="str">
            <v>Cartridge Hydraulic Filter</v>
          </cell>
        </row>
        <row r="1258">
          <cell r="K1258" t="str">
            <v>LAF1714</v>
          </cell>
          <cell r="L1258" t="str">
            <v>HD</v>
          </cell>
          <cell r="M1258" t="str">
            <v>x</v>
          </cell>
          <cell r="N1258" t="e">
            <v>#N/A</v>
          </cell>
          <cell r="O1258" t="str">
            <v>HD Metal-End Air Filter</v>
          </cell>
        </row>
        <row r="1259">
          <cell r="K1259" t="str">
            <v>LAF1864</v>
          </cell>
          <cell r="L1259" t="str">
            <v>HD</v>
          </cell>
          <cell r="M1259" t="str">
            <v>x</v>
          </cell>
          <cell r="N1259" t="e">
            <v>#N/A</v>
          </cell>
          <cell r="O1259" t="str">
            <v>HD Metal-End Air Filter</v>
          </cell>
        </row>
        <row r="1260">
          <cell r="K1260" t="str">
            <v>LAF2671</v>
          </cell>
          <cell r="L1260" t="str">
            <v>HD</v>
          </cell>
          <cell r="M1260" t="str">
            <v>x</v>
          </cell>
          <cell r="N1260" t="e">
            <v>#N/A</v>
          </cell>
          <cell r="O1260" t="str">
            <v>Panel Air Filter Metal Framed</v>
          </cell>
        </row>
        <row r="1261">
          <cell r="K1261" t="str">
            <v>LAF1723</v>
          </cell>
          <cell r="L1261" t="str">
            <v>HD</v>
          </cell>
          <cell r="M1261" t="str">
            <v>x</v>
          </cell>
          <cell r="N1261" t="e">
            <v>#N/A</v>
          </cell>
          <cell r="O1261" t="str">
            <v>HD Metal-End Air Filter-Inner</v>
          </cell>
        </row>
        <row r="1262">
          <cell r="K1262" t="str">
            <v>LAF5154</v>
          </cell>
          <cell r="L1262" t="str">
            <v>HD</v>
          </cell>
          <cell r="M1262" t="str">
            <v>x</v>
          </cell>
          <cell r="N1262" t="e">
            <v>#N/A</v>
          </cell>
          <cell r="O1262" t="str">
            <v>Panel Air Filter Metal Framed</v>
          </cell>
        </row>
        <row r="1263">
          <cell r="K1263">
            <v>4666</v>
          </cell>
          <cell r="L1263" t="str">
            <v>HD</v>
          </cell>
          <cell r="M1263" t="str">
            <v>x</v>
          </cell>
          <cell r="N1263" t="e">
            <v>#N/A</v>
          </cell>
          <cell r="O1263" t="str">
            <v>F170 with fuel/water separator paper element Filter</v>
          </cell>
        </row>
        <row r="1264">
          <cell r="K1264" t="str">
            <v>LAF8688</v>
          </cell>
          <cell r="L1264" t="str">
            <v>HD</v>
          </cell>
          <cell r="M1264" t="str">
            <v>x</v>
          </cell>
          <cell r="N1264" t="e">
            <v>#N/A</v>
          </cell>
          <cell r="O1264" t="str">
            <v>Radial Seal Inner Air Filter</v>
          </cell>
        </row>
        <row r="1265">
          <cell r="K1265" t="str">
            <v>LP816</v>
          </cell>
          <cell r="L1265" t="str">
            <v>HD</v>
          </cell>
          <cell r="M1265" t="str">
            <v>x</v>
          </cell>
          <cell r="N1265" t="e">
            <v>#N/A</v>
          </cell>
          <cell r="O1265" t="str">
            <v>Cartridge Oil Filter</v>
          </cell>
        </row>
        <row r="1266">
          <cell r="K1266" t="str">
            <v>LAF3498</v>
          </cell>
          <cell r="L1266" t="str">
            <v>HD</v>
          </cell>
          <cell r="M1266" t="str">
            <v>x</v>
          </cell>
          <cell r="N1266" t="e">
            <v>#N/A</v>
          </cell>
          <cell r="O1266" t="str">
            <v>Inner Air Filter</v>
          </cell>
        </row>
        <row r="1267">
          <cell r="K1267" t="str">
            <v>LFP2241</v>
          </cell>
          <cell r="L1267" t="str">
            <v>HD</v>
          </cell>
          <cell r="M1267" t="str">
            <v>x</v>
          </cell>
          <cell r="N1267" t="e">
            <v>#N/A</v>
          </cell>
          <cell r="O1267" t="str">
            <v>Spin-on Oil Filter</v>
          </cell>
        </row>
        <row r="1268">
          <cell r="K1268" t="str">
            <v>LH4914</v>
          </cell>
          <cell r="L1268" t="str">
            <v>HD</v>
          </cell>
          <cell r="M1268" t="str">
            <v>x</v>
          </cell>
          <cell r="N1268" t="e">
            <v>#N/A</v>
          </cell>
          <cell r="O1268" t="str">
            <v>Cartridge Hydraulic Filter</v>
          </cell>
        </row>
        <row r="1269">
          <cell r="K1269" t="str">
            <v>LAF8583</v>
          </cell>
          <cell r="L1269" t="str">
            <v>HD</v>
          </cell>
          <cell r="M1269" t="str">
            <v>x</v>
          </cell>
          <cell r="N1269" t="e">
            <v>#N/A</v>
          </cell>
          <cell r="O1269" t="str">
            <v>Finned Vane Air Filter With Attached Lid</v>
          </cell>
        </row>
        <row r="1270">
          <cell r="K1270" t="str">
            <v>LAF65</v>
          </cell>
          <cell r="L1270" t="str">
            <v>HD</v>
          </cell>
          <cell r="M1270" t="str">
            <v>x</v>
          </cell>
          <cell r="N1270" t="e">
            <v>#N/A</v>
          </cell>
          <cell r="O1270" t="str">
            <v>Round Plastisol Air Filter</v>
          </cell>
        </row>
        <row r="1271">
          <cell r="K1271" t="str">
            <v>LAFV140A</v>
          </cell>
          <cell r="L1271" t="str">
            <v>HD</v>
          </cell>
          <cell r="M1271" t="str">
            <v>x</v>
          </cell>
          <cell r="N1271" t="e">
            <v>#N/A</v>
          </cell>
          <cell r="O1271" t="str">
            <v>HD Metal-End Air Filter</v>
          </cell>
        </row>
        <row r="1272">
          <cell r="K1272" t="str">
            <v>.75N1-12A</v>
          </cell>
          <cell r="L1272" t="str">
            <v>HD</v>
          </cell>
          <cell r="M1272" t="str">
            <v>x</v>
          </cell>
          <cell r="N1272" t="e">
            <v>#N/A</v>
          </cell>
          <cell r="O1272" t="str">
            <v xml:space="preserve"> HYDRAULIC BASE</v>
          </cell>
        </row>
        <row r="1273">
          <cell r="K1273" t="str">
            <v>750-C</v>
          </cell>
          <cell r="L1273" t="str">
            <v>HD</v>
          </cell>
          <cell r="M1273" t="str">
            <v>x</v>
          </cell>
          <cell r="N1273" t="e">
            <v>#N/A</v>
          </cell>
          <cell r="O1273" t="str">
            <v>Refining Unit For Fuel Filtration w/Filter Pack/750-C, CT</v>
          </cell>
        </row>
        <row r="1274">
          <cell r="K1274" t="str">
            <v>LAF2342</v>
          </cell>
          <cell r="L1274" t="str">
            <v>HD</v>
          </cell>
          <cell r="M1274" t="str">
            <v>x</v>
          </cell>
          <cell r="N1274" t="e">
            <v>#N/A</v>
          </cell>
          <cell r="O1274" t="str">
            <v>Radial Seal Outer Air Filter</v>
          </cell>
        </row>
        <row r="1275">
          <cell r="K1275" t="str">
            <v>LAF7360</v>
          </cell>
          <cell r="L1275" t="str">
            <v>HD</v>
          </cell>
          <cell r="M1275" t="str">
            <v>x</v>
          </cell>
          <cell r="N1275" t="e">
            <v>#N/A</v>
          </cell>
          <cell r="O1275" t="str">
            <v>Round Inner Air Filter with Flanged Endcap</v>
          </cell>
        </row>
        <row r="1276">
          <cell r="K1276" t="str">
            <v>L3515F</v>
          </cell>
          <cell r="L1276" t="str">
            <v>HD</v>
          </cell>
          <cell r="M1276" t="str">
            <v>x</v>
          </cell>
          <cell r="N1276" t="e">
            <v>#N/A</v>
          </cell>
          <cell r="O1276" t="str">
            <v>Cartridge Fuel Filter</v>
          </cell>
        </row>
        <row r="1277">
          <cell r="K1277" t="str">
            <v>LAF7358</v>
          </cell>
          <cell r="L1277" t="str">
            <v>HD</v>
          </cell>
          <cell r="M1277" t="str">
            <v>x</v>
          </cell>
          <cell r="N1277" t="e">
            <v>#N/A</v>
          </cell>
          <cell r="O1277" t="str">
            <v>Rigid Panel Air Filter</v>
          </cell>
        </row>
        <row r="1278">
          <cell r="K1278" t="str">
            <v>LWC22155</v>
          </cell>
          <cell r="L1278" t="str">
            <v>HD</v>
          </cell>
          <cell r="M1278" t="str">
            <v>x</v>
          </cell>
          <cell r="N1278" t="e">
            <v>#N/A</v>
          </cell>
          <cell r="O1278" t="str">
            <v>Air Dryer Filter</v>
          </cell>
        </row>
        <row r="1279">
          <cell r="K1279" t="str">
            <v>LAF22106</v>
          </cell>
          <cell r="L1279" t="str">
            <v>HD</v>
          </cell>
          <cell r="M1279" t="str">
            <v>x</v>
          </cell>
          <cell r="N1279" t="e">
            <v>#N/A</v>
          </cell>
          <cell r="O1279" t="str">
            <v>HD Metal-End Air Filter</v>
          </cell>
        </row>
        <row r="1280">
          <cell r="K1280" t="str">
            <v>LFP8507</v>
          </cell>
          <cell r="L1280" t="str">
            <v>HD</v>
          </cell>
          <cell r="M1280" t="str">
            <v>x</v>
          </cell>
          <cell r="N1280" t="e">
            <v>#N/A</v>
          </cell>
          <cell r="O1280" t="str">
            <v>Spin-on Oil Filter</v>
          </cell>
        </row>
        <row r="1281">
          <cell r="K1281" t="str">
            <v>LAF5803</v>
          </cell>
          <cell r="L1281" t="str">
            <v>HD</v>
          </cell>
          <cell r="M1281" t="str">
            <v>x</v>
          </cell>
          <cell r="N1281" t="e">
            <v>#N/A</v>
          </cell>
          <cell r="O1281" t="str">
            <v>Round Plastisol Air Filter</v>
          </cell>
        </row>
        <row r="1282">
          <cell r="K1282" t="str">
            <v>LAF1915</v>
          </cell>
          <cell r="L1282" t="str">
            <v>HD</v>
          </cell>
          <cell r="M1282" t="str">
            <v>x</v>
          </cell>
          <cell r="N1282" t="str">
            <v>LAF1915</v>
          </cell>
          <cell r="O1282" t="str">
            <v>Round Plastisol Air Filter</v>
          </cell>
        </row>
        <row r="1283">
          <cell r="K1283" t="str">
            <v>LFP8462</v>
          </cell>
          <cell r="L1283" t="str">
            <v>HD</v>
          </cell>
          <cell r="M1283" t="str">
            <v>x</v>
          </cell>
          <cell r="N1283" t="e">
            <v>#N/A</v>
          </cell>
          <cell r="O1283" t="str">
            <v>Spin-on Oil Filter</v>
          </cell>
        </row>
        <row r="1284">
          <cell r="K1284" t="str">
            <v>LK170M</v>
          </cell>
          <cell r="L1284" t="str">
            <v>HD</v>
          </cell>
          <cell r="M1284" t="str">
            <v>x</v>
          </cell>
          <cell r="N1284" t="e">
            <v>#N/A</v>
          </cell>
          <cell r="O1284" t="str">
            <v>Mack Engine Maintenance Kit</v>
          </cell>
        </row>
        <row r="1285">
          <cell r="K1285" t="str">
            <v>LK351M</v>
          </cell>
          <cell r="L1285" t="str">
            <v>HD</v>
          </cell>
          <cell r="M1285" t="str">
            <v>x</v>
          </cell>
          <cell r="N1285" t="e">
            <v>#N/A</v>
          </cell>
          <cell r="O1285" t="str">
            <v>Mack Engine Maintenance Kit</v>
          </cell>
        </row>
        <row r="1286">
          <cell r="K1286" t="str">
            <v>LH11007</v>
          </cell>
          <cell r="L1286" t="str">
            <v>HD</v>
          </cell>
          <cell r="M1286" t="str">
            <v>x</v>
          </cell>
          <cell r="N1286" t="e">
            <v>#N/A</v>
          </cell>
          <cell r="O1286" t="str">
            <v>Industrial Cartridge Hydraulic Filter</v>
          </cell>
        </row>
        <row r="1287">
          <cell r="K1287" t="str">
            <v>CAF24001XL</v>
          </cell>
          <cell r="L1287" t="str">
            <v>HD</v>
          </cell>
          <cell r="M1287" t="str">
            <v>x</v>
          </cell>
          <cell r="N1287" t="e">
            <v>#N/A</v>
          </cell>
          <cell r="O1287" t="str">
            <v>Cabin Air Filter (Carbon) Extreme Clean</v>
          </cell>
        </row>
        <row r="1288">
          <cell r="K1288" t="str">
            <v>LFH4944</v>
          </cell>
          <cell r="L1288" t="str">
            <v>HD</v>
          </cell>
          <cell r="M1288" t="str">
            <v>x</v>
          </cell>
          <cell r="N1288" t="e">
            <v>#N/A</v>
          </cell>
          <cell r="O1288" t="str">
            <v>Spin-on Hydraulic Filter</v>
          </cell>
        </row>
        <row r="1289">
          <cell r="K1289" t="str">
            <v>LAF4497</v>
          </cell>
          <cell r="L1289" t="str">
            <v>HD</v>
          </cell>
          <cell r="M1289" t="str">
            <v>x</v>
          </cell>
          <cell r="N1289" t="e">
            <v>#N/A</v>
          </cell>
          <cell r="O1289" t="str">
            <v>Radial Seal Outer Air Filter</v>
          </cell>
        </row>
        <row r="1290">
          <cell r="K1290" t="str">
            <v>LAF1922</v>
          </cell>
          <cell r="L1290" t="str">
            <v>HD</v>
          </cell>
          <cell r="M1290" t="str">
            <v>x</v>
          </cell>
          <cell r="N1290" t="e">
            <v>#N/A</v>
          </cell>
          <cell r="O1290" t="str">
            <v>HD Metal-End Inner Air Filter</v>
          </cell>
        </row>
        <row r="1291">
          <cell r="K1291" t="str">
            <v>LFH4929</v>
          </cell>
          <cell r="L1291" t="str">
            <v>HD</v>
          </cell>
          <cell r="M1291" t="str">
            <v>x</v>
          </cell>
          <cell r="N1291" t="e">
            <v>#N/A</v>
          </cell>
          <cell r="O1291" t="str">
            <v>Spin-on Hydraulic Filter</v>
          </cell>
        </row>
        <row r="1292">
          <cell r="K1292" t="str">
            <v>LAF8121</v>
          </cell>
          <cell r="L1292" t="str">
            <v>HD</v>
          </cell>
          <cell r="M1292" t="str">
            <v>x</v>
          </cell>
          <cell r="N1292" t="e">
            <v>#N/A</v>
          </cell>
          <cell r="O1292" t="str">
            <v>Round Air Filter</v>
          </cell>
        </row>
        <row r="1293">
          <cell r="K1293" t="str">
            <v>GASKET</v>
          </cell>
          <cell r="L1293" t="str">
            <v>HD</v>
          </cell>
          <cell r="M1293" t="str">
            <v>x</v>
          </cell>
          <cell r="N1293" t="e">
            <v>#N/A</v>
          </cell>
          <cell r="O1293" t="str">
            <v>Cover Gasket for Low Temperature Applications/500-C, 750-C, CT, 2C, 3C, 970-C</v>
          </cell>
        </row>
        <row r="1294">
          <cell r="K1294" t="str">
            <v>CAF24001</v>
          </cell>
          <cell r="L1294" t="str">
            <v>HD</v>
          </cell>
          <cell r="M1294" t="str">
            <v>x</v>
          </cell>
          <cell r="N1294" t="e">
            <v>#N/A</v>
          </cell>
          <cell r="O1294" t="str">
            <v>Cabin Air Filter</v>
          </cell>
        </row>
        <row r="1295">
          <cell r="K1295" t="str">
            <v>LAF1733</v>
          </cell>
          <cell r="L1295" t="str">
            <v>HD</v>
          </cell>
          <cell r="M1295" t="str">
            <v>x</v>
          </cell>
          <cell r="N1295" t="e">
            <v>#N/A</v>
          </cell>
          <cell r="O1295" t="str">
            <v>HD Metal-End Air Filter</v>
          </cell>
        </row>
        <row r="1296">
          <cell r="K1296" t="str">
            <v>LAF4508</v>
          </cell>
          <cell r="L1296" t="str">
            <v>HD</v>
          </cell>
          <cell r="M1296" t="str">
            <v>x</v>
          </cell>
          <cell r="N1296" t="e">
            <v>#N/A</v>
          </cell>
          <cell r="O1296" t="str">
            <v>Radial Seal Inner Air Filter</v>
          </cell>
        </row>
        <row r="1297">
          <cell r="K1297" t="str">
            <v>LFP7164</v>
          </cell>
          <cell r="L1297" t="str">
            <v>HD</v>
          </cell>
          <cell r="M1297" t="str">
            <v>x</v>
          </cell>
          <cell r="N1297" t="e">
            <v>#N/A</v>
          </cell>
          <cell r="O1297" t="str">
            <v>Spin-on By-Pass Oil Filter</v>
          </cell>
        </row>
        <row r="1298">
          <cell r="K1298" t="str">
            <v>LAF5070</v>
          </cell>
          <cell r="L1298" t="str">
            <v>HD</v>
          </cell>
          <cell r="M1298" t="str">
            <v>x</v>
          </cell>
          <cell r="N1298" t="e">
            <v>#N/A</v>
          </cell>
          <cell r="O1298" t="str">
            <v>HD Metal-End Air Filter</v>
          </cell>
        </row>
        <row r="1299">
          <cell r="K1299" t="str">
            <v>LAF916</v>
          </cell>
          <cell r="L1299" t="str">
            <v>HD</v>
          </cell>
          <cell r="M1299" t="str">
            <v>x</v>
          </cell>
          <cell r="N1299" t="e">
            <v>#N/A</v>
          </cell>
          <cell r="O1299" t="str">
            <v>Metal-End Air Filter with Closed Top End Cap</v>
          </cell>
        </row>
        <row r="1300">
          <cell r="K1300" t="str">
            <v>LP4373</v>
          </cell>
          <cell r="L1300" t="str">
            <v>HD</v>
          </cell>
          <cell r="M1300" t="str">
            <v>x</v>
          </cell>
          <cell r="N1300" t="e">
            <v>#N/A</v>
          </cell>
          <cell r="O1300" t="str">
            <v>Cartridge hydraulic filter</v>
          </cell>
        </row>
        <row r="1301">
          <cell r="K1301" t="str">
            <v>L624F</v>
          </cell>
          <cell r="L1301" t="str">
            <v>HD</v>
          </cell>
          <cell r="M1301" t="str">
            <v>x</v>
          </cell>
          <cell r="N1301" t="e">
            <v>#N/A</v>
          </cell>
          <cell r="O1301" t="str">
            <v>Cartridge Fuel Filter</v>
          </cell>
        </row>
        <row r="1302">
          <cell r="K1302" t="str">
            <v>L3921F</v>
          </cell>
          <cell r="L1302" t="str">
            <v>HD</v>
          </cell>
          <cell r="M1302" t="str">
            <v>x</v>
          </cell>
          <cell r="N1302" t="e">
            <v>#N/A</v>
          </cell>
          <cell r="O1302" t="str">
            <v>Snap-Lock Fuel Filter</v>
          </cell>
        </row>
        <row r="1303">
          <cell r="K1303" t="str">
            <v>LAF320</v>
          </cell>
          <cell r="L1303" t="str">
            <v>HD</v>
          </cell>
          <cell r="M1303" t="str">
            <v>x</v>
          </cell>
          <cell r="N1303" t="e">
            <v>#N/A</v>
          </cell>
          <cell r="O1303" t="str">
            <v>Tube Type Air Filter</v>
          </cell>
        </row>
        <row r="1304">
          <cell r="K1304" t="str">
            <v>LAF1628</v>
          </cell>
          <cell r="L1304" t="str">
            <v>HD</v>
          </cell>
          <cell r="M1304" t="str">
            <v>x</v>
          </cell>
          <cell r="N1304" t="str">
            <v>LAF1628</v>
          </cell>
          <cell r="O1304" t="str">
            <v>Tube Type Air Filter</v>
          </cell>
        </row>
        <row r="1305">
          <cell r="K1305" t="str">
            <v>LH11021V</v>
          </cell>
          <cell r="L1305" t="str">
            <v>HD</v>
          </cell>
          <cell r="M1305" t="str">
            <v>x</v>
          </cell>
          <cell r="N1305" t="e">
            <v>#N/A</v>
          </cell>
          <cell r="O1305" t="str">
            <v>Industrial Cartridge Hydraulic Filter</v>
          </cell>
        </row>
        <row r="1306">
          <cell r="K1306" t="str">
            <v>LAF1936</v>
          </cell>
          <cell r="L1306" t="str">
            <v>HD</v>
          </cell>
          <cell r="M1306" t="str">
            <v>x</v>
          </cell>
          <cell r="N1306" t="e">
            <v>#N/A</v>
          </cell>
          <cell r="O1306" t="str">
            <v>HD Metal-End Air Filter</v>
          </cell>
        </row>
        <row r="1307">
          <cell r="K1307" t="str">
            <v>LAF2550</v>
          </cell>
          <cell r="L1307" t="str">
            <v>HD</v>
          </cell>
          <cell r="M1307" t="str">
            <v>x</v>
          </cell>
          <cell r="N1307" t="e">
            <v>#N/A</v>
          </cell>
          <cell r="O1307" t="str">
            <v>HD Metal-End Air Filter</v>
          </cell>
        </row>
        <row r="1308">
          <cell r="K1308" t="str">
            <v>LH11033V</v>
          </cell>
          <cell r="L1308" t="str">
            <v>HD</v>
          </cell>
          <cell r="M1308" t="str">
            <v>x</v>
          </cell>
          <cell r="N1308" t="e">
            <v>#N/A</v>
          </cell>
          <cell r="O1308" t="str">
            <v>Industrial Cartridge Hydraulic Filter</v>
          </cell>
        </row>
        <row r="1309">
          <cell r="K1309" t="str">
            <v>LAF7752</v>
          </cell>
          <cell r="L1309" t="str">
            <v>HD</v>
          </cell>
          <cell r="M1309" t="str">
            <v>x</v>
          </cell>
          <cell r="N1309" t="e">
            <v>#N/A</v>
          </cell>
          <cell r="O1309" t="str">
            <v>HD Metal-End Air Filter</v>
          </cell>
        </row>
        <row r="1310">
          <cell r="K1310" t="str">
            <v>FW6HD</v>
          </cell>
          <cell r="L1310" t="str">
            <v>HD</v>
          </cell>
          <cell r="M1310" t="str">
            <v>x</v>
          </cell>
          <cell r="N1310" t="e">
            <v>#N/A</v>
          </cell>
          <cell r="O1310" t="str">
            <v>Heavy Duty Band Wrench requires 1/2" drive tool. Used on 4 1/4" to 4 3/4" diamter filters.</v>
          </cell>
        </row>
        <row r="1311">
          <cell r="K1311" t="str">
            <v>LAF15F</v>
          </cell>
          <cell r="L1311" t="str">
            <v>HD</v>
          </cell>
          <cell r="M1311" t="str">
            <v>x</v>
          </cell>
          <cell r="N1311" t="e">
            <v>#N/A</v>
          </cell>
          <cell r="O1311" t="str">
            <v>Foam Wrap Air Filter</v>
          </cell>
        </row>
        <row r="1312">
          <cell r="K1312" t="str">
            <v>LFH4431</v>
          </cell>
          <cell r="L1312" t="str">
            <v>HD</v>
          </cell>
          <cell r="M1312" t="str">
            <v>x</v>
          </cell>
          <cell r="N1312" t="e">
            <v>#N/A</v>
          </cell>
          <cell r="O1312" t="str">
            <v>Spin-on Hydraulic Filter</v>
          </cell>
        </row>
        <row r="1313">
          <cell r="K1313" t="str">
            <v>LAF8476</v>
          </cell>
          <cell r="L1313" t="str">
            <v>HD</v>
          </cell>
          <cell r="M1313" t="str">
            <v>x</v>
          </cell>
          <cell r="N1313" t="e">
            <v>#N/A</v>
          </cell>
          <cell r="O1313" t="str">
            <v>Round Air Filter</v>
          </cell>
        </row>
        <row r="1314">
          <cell r="K1314" t="str">
            <v>LFH4427</v>
          </cell>
          <cell r="L1314" t="str">
            <v>HD</v>
          </cell>
          <cell r="M1314" t="str">
            <v>x</v>
          </cell>
          <cell r="N1314" t="e">
            <v>#N/A</v>
          </cell>
          <cell r="O1314" t="str">
            <v>Spin-on Hydraulic Filter</v>
          </cell>
        </row>
        <row r="1315">
          <cell r="K1315" t="str">
            <v>L900B</v>
          </cell>
          <cell r="L1315" t="str">
            <v>HD</v>
          </cell>
          <cell r="M1315" t="str">
            <v>x</v>
          </cell>
          <cell r="N1315" t="e">
            <v>#N/A</v>
          </cell>
          <cell r="O1315" t="str">
            <v>Glass Bowl</v>
          </cell>
        </row>
        <row r="1316">
          <cell r="K1316" t="str">
            <v>LAF5974</v>
          </cell>
          <cell r="L1316" t="str">
            <v>HD</v>
          </cell>
          <cell r="M1316" t="str">
            <v>x</v>
          </cell>
          <cell r="N1316" t="e">
            <v>#N/A</v>
          </cell>
          <cell r="O1316" t="str">
            <v>Radial Seal Inner Air Filter</v>
          </cell>
        </row>
        <row r="1317">
          <cell r="K1317" t="str">
            <v>LH8541</v>
          </cell>
          <cell r="L1317" t="str">
            <v>HD</v>
          </cell>
          <cell r="M1317" t="str">
            <v>x</v>
          </cell>
          <cell r="N1317" t="e">
            <v>#N/A</v>
          </cell>
          <cell r="O1317" t="str">
            <v>Cartridge Hydraulic Filter</v>
          </cell>
        </row>
        <row r="1318">
          <cell r="K1318" t="str">
            <v>LFH8395G</v>
          </cell>
          <cell r="L1318" t="str">
            <v>HD</v>
          </cell>
          <cell r="M1318" t="str">
            <v>x</v>
          </cell>
          <cell r="N1318" t="e">
            <v>#N/A</v>
          </cell>
          <cell r="O1318" t="str">
            <v>Spin-on Hydraulic Filter</v>
          </cell>
        </row>
        <row r="1319">
          <cell r="K1319" t="str">
            <v>LAF8086</v>
          </cell>
          <cell r="L1319" t="str">
            <v>HD</v>
          </cell>
          <cell r="M1319" t="str">
            <v>x</v>
          </cell>
          <cell r="N1319" t="e">
            <v>#N/A</v>
          </cell>
          <cell r="O1319" t="str">
            <v>Radial Seal Inner Air Filter Inner</v>
          </cell>
        </row>
        <row r="1320">
          <cell r="K1320" t="str">
            <v>LAF4514</v>
          </cell>
          <cell r="L1320" t="str">
            <v>HD</v>
          </cell>
          <cell r="M1320" t="str">
            <v>x</v>
          </cell>
          <cell r="N1320" t="e">
            <v>#N/A</v>
          </cell>
          <cell r="O1320" t="str">
            <v>HD Metal-End Air Filter with Attached Lid</v>
          </cell>
        </row>
        <row r="1321">
          <cell r="K1321" t="str">
            <v>LAF1910</v>
          </cell>
          <cell r="L1321" t="str">
            <v>HD</v>
          </cell>
          <cell r="M1321" t="str">
            <v>x</v>
          </cell>
          <cell r="N1321" t="str">
            <v>LAF1910</v>
          </cell>
          <cell r="O1321" t="str">
            <v>HD Metal-End Air Filter</v>
          </cell>
        </row>
        <row r="1322">
          <cell r="K1322" t="str">
            <v>LFH4961</v>
          </cell>
          <cell r="L1322" t="str">
            <v>HD</v>
          </cell>
          <cell r="M1322" t="str">
            <v>x</v>
          </cell>
          <cell r="N1322" t="e">
            <v>#N/A</v>
          </cell>
          <cell r="O1322" t="str">
            <v>Spin-on Hydraulic Filter</v>
          </cell>
        </row>
        <row r="1323">
          <cell r="K1323" t="str">
            <v>750</v>
          </cell>
          <cell r="L1323" t="str">
            <v>HD</v>
          </cell>
          <cell r="M1323" t="str">
            <v>x</v>
          </cell>
          <cell r="N1323" t="e">
            <v>#N/A</v>
          </cell>
          <cell r="O1323" t="str">
            <v>Luber-finer 750 housing, microcell extremely fine micronic filtration of aircraft &amp; missile hydraulic fluids</v>
          </cell>
        </row>
        <row r="1324">
          <cell r="K1324" t="str">
            <v>LAF4621</v>
          </cell>
          <cell r="L1324" t="str">
            <v>HD</v>
          </cell>
          <cell r="M1324" t="str">
            <v>x</v>
          </cell>
          <cell r="N1324" t="e">
            <v>#N/A</v>
          </cell>
          <cell r="O1324" t="str">
            <v>Radial Seal Inner Air Filter</v>
          </cell>
        </row>
        <row r="1325">
          <cell r="K1325" t="str">
            <v>LFW6501</v>
          </cell>
          <cell r="L1325" t="str">
            <v>HD</v>
          </cell>
          <cell r="M1325" t="str">
            <v>x</v>
          </cell>
          <cell r="N1325" t="e">
            <v>#N/A</v>
          </cell>
          <cell r="O1325" t="str">
            <v>Controll Release Spin-on Coolant Filter</v>
          </cell>
        </row>
        <row r="1326">
          <cell r="K1326" t="str">
            <v>L5085F</v>
          </cell>
          <cell r="L1326" t="str">
            <v>HD</v>
          </cell>
          <cell r="M1326" t="str">
            <v>x</v>
          </cell>
          <cell r="N1326" t="e">
            <v>#N/A</v>
          </cell>
          <cell r="O1326" t="str">
            <v>Cartridge Fuel Filter</v>
          </cell>
        </row>
        <row r="1327">
          <cell r="K1327" t="str">
            <v>LP2017</v>
          </cell>
          <cell r="L1327" t="str">
            <v>HD</v>
          </cell>
          <cell r="M1327" t="str">
            <v>x</v>
          </cell>
          <cell r="N1327" t="e">
            <v>#N/A</v>
          </cell>
          <cell r="O1327" t="str">
            <v>26-35768 O-RING RED VITON Gasket</v>
          </cell>
        </row>
        <row r="1328">
          <cell r="K1328" t="str">
            <v>LP2256</v>
          </cell>
          <cell r="L1328" t="str">
            <v>HD</v>
          </cell>
          <cell r="M1328" t="str">
            <v>x</v>
          </cell>
          <cell r="N1328" t="e">
            <v>#N/A</v>
          </cell>
          <cell r="O1328" t="str">
            <v>Cartridge Oil Filter</v>
          </cell>
        </row>
        <row r="1329">
          <cell r="K1329" t="str">
            <v>LAF851</v>
          </cell>
          <cell r="L1329" t="str">
            <v>HD</v>
          </cell>
          <cell r="M1329" t="str">
            <v>x</v>
          </cell>
          <cell r="N1329" t="e">
            <v>#N/A</v>
          </cell>
          <cell r="O1329" t="str">
            <v>HD Metal-End Air Filter</v>
          </cell>
        </row>
        <row r="1330">
          <cell r="K1330" t="str">
            <v>LAF1841</v>
          </cell>
          <cell r="L1330" t="str">
            <v>HD</v>
          </cell>
          <cell r="M1330" t="str">
            <v>x</v>
          </cell>
          <cell r="N1330" t="e">
            <v>#N/A</v>
          </cell>
          <cell r="O1330" t="str">
            <v>HD Metal-End Air Filter</v>
          </cell>
        </row>
        <row r="1331">
          <cell r="K1331" t="str">
            <v>LAF636</v>
          </cell>
          <cell r="L1331" t="str">
            <v>HD</v>
          </cell>
          <cell r="M1331" t="str">
            <v>x</v>
          </cell>
          <cell r="N1331" t="e">
            <v>#N/A</v>
          </cell>
          <cell r="O1331" t="str">
            <v>HD Metal-End Inner Air Filter</v>
          </cell>
        </row>
        <row r="1332">
          <cell r="K1332" t="str">
            <v>LAF2534</v>
          </cell>
          <cell r="L1332" t="str">
            <v>HD</v>
          </cell>
          <cell r="M1332" t="str">
            <v>x</v>
          </cell>
          <cell r="N1332" t="str">
            <v>LAF2534</v>
          </cell>
          <cell r="O1332" t="str">
            <v>Disposible Housing Air Filter</v>
          </cell>
        </row>
        <row r="1333">
          <cell r="K1333" t="str">
            <v>LAF5732</v>
          </cell>
          <cell r="L1333" t="str">
            <v>HD</v>
          </cell>
          <cell r="M1333" t="str">
            <v>x</v>
          </cell>
          <cell r="N1333" t="e">
            <v>#N/A</v>
          </cell>
          <cell r="O1333" t="str">
            <v>Radial Seal Inner Air Filter</v>
          </cell>
        </row>
        <row r="1334">
          <cell r="K1334" t="str">
            <v>LAF2519</v>
          </cell>
          <cell r="L1334" t="str">
            <v>HD</v>
          </cell>
          <cell r="M1334" t="str">
            <v>x</v>
          </cell>
          <cell r="N1334" t="e">
            <v>#N/A</v>
          </cell>
          <cell r="O1334" t="str">
            <v>Round Inner Air Filter with Flanged Endcap</v>
          </cell>
        </row>
        <row r="1335">
          <cell r="K1335" t="str">
            <v>LAF1965</v>
          </cell>
          <cell r="L1335" t="str">
            <v>HD</v>
          </cell>
          <cell r="M1335" t="str">
            <v>x</v>
          </cell>
          <cell r="N1335" t="e">
            <v>#N/A</v>
          </cell>
          <cell r="O1335" t="str">
            <v>Finned Vane Air Filter</v>
          </cell>
        </row>
        <row r="1336">
          <cell r="K1336" t="str">
            <v>LOSK-5D</v>
          </cell>
          <cell r="L1336" t="str">
            <v>HD</v>
          </cell>
          <cell r="M1336" t="str">
            <v>x</v>
          </cell>
          <cell r="N1336" t="e">
            <v>#N/A</v>
          </cell>
          <cell r="O1336" t="str">
            <v>Oil Analysis Test Kit</v>
          </cell>
        </row>
        <row r="1337">
          <cell r="K1337" t="str">
            <v>LAF1469</v>
          </cell>
          <cell r="L1337" t="str">
            <v>HD</v>
          </cell>
          <cell r="M1337" t="str">
            <v>x</v>
          </cell>
          <cell r="N1337" t="e">
            <v>#N/A</v>
          </cell>
          <cell r="O1337" t="str">
            <v>HD Metal-End Air Filter</v>
          </cell>
        </row>
        <row r="1338">
          <cell r="K1338" t="str">
            <v>LAF528D</v>
          </cell>
          <cell r="L1338" t="str">
            <v>HD</v>
          </cell>
          <cell r="M1338" t="str">
            <v>x</v>
          </cell>
          <cell r="N1338" t="e">
            <v>#N/A</v>
          </cell>
          <cell r="O1338" t="str">
            <v>HD Rigid Panel Air Filter</v>
          </cell>
        </row>
        <row r="1339">
          <cell r="K1339" t="str">
            <v>LAF2343</v>
          </cell>
          <cell r="L1339" t="str">
            <v>HD</v>
          </cell>
          <cell r="M1339" t="str">
            <v>x</v>
          </cell>
          <cell r="N1339" t="e">
            <v>#N/A</v>
          </cell>
          <cell r="O1339" t="str">
            <v>Radial Seal Inner Air Filter</v>
          </cell>
        </row>
        <row r="1340">
          <cell r="K1340" t="str">
            <v>LAF8750</v>
          </cell>
          <cell r="L1340" t="str">
            <v>HD</v>
          </cell>
          <cell r="M1340" t="str">
            <v>x</v>
          </cell>
          <cell r="N1340" t="e">
            <v>#N/A</v>
          </cell>
          <cell r="O1340" t="str">
            <v>Radial Seal Inner Air Filter</v>
          </cell>
        </row>
        <row r="1341">
          <cell r="K1341" t="str">
            <v>LAF5026</v>
          </cell>
          <cell r="L1341" t="str">
            <v>HD</v>
          </cell>
          <cell r="M1341" t="str">
            <v>x</v>
          </cell>
          <cell r="N1341" t="e">
            <v>#N/A</v>
          </cell>
          <cell r="O1341" t="str">
            <v>Panel Air Filter Metal Framed</v>
          </cell>
        </row>
        <row r="1342">
          <cell r="K1342" t="str">
            <v>LH22126</v>
          </cell>
          <cell r="L1342" t="str">
            <v>HD</v>
          </cell>
          <cell r="M1342" t="str">
            <v>x</v>
          </cell>
          <cell r="N1342" t="e">
            <v>#N/A</v>
          </cell>
          <cell r="O1342" t="str">
            <v>Cartridge Hydraulic Filter</v>
          </cell>
        </row>
        <row r="1343">
          <cell r="K1343" t="str">
            <v>LAF5562</v>
          </cell>
          <cell r="L1343" t="str">
            <v>HD</v>
          </cell>
          <cell r="M1343" t="str">
            <v>x</v>
          </cell>
          <cell r="N1343" t="e">
            <v>#N/A</v>
          </cell>
          <cell r="O1343" t="str">
            <v>HD Metal-End Inner Air Filter</v>
          </cell>
        </row>
        <row r="1344">
          <cell r="K1344" t="str">
            <v>L6916F</v>
          </cell>
          <cell r="L1344" t="str">
            <v>HD</v>
          </cell>
          <cell r="M1344" t="str">
            <v>x</v>
          </cell>
          <cell r="N1344" t="e">
            <v>#N/A</v>
          </cell>
          <cell r="O1344" t="str">
            <v>Cartridge Fuel Filter</v>
          </cell>
        </row>
        <row r="1345">
          <cell r="K1345" t="str">
            <v>LAF3496</v>
          </cell>
          <cell r="L1345" t="str">
            <v>HD</v>
          </cell>
          <cell r="M1345" t="str">
            <v>x</v>
          </cell>
          <cell r="N1345" t="e">
            <v>#N/A</v>
          </cell>
          <cell r="O1345" t="str">
            <v>HD Round Air Filter with Attached Boot</v>
          </cell>
        </row>
        <row r="1346">
          <cell r="K1346" t="str">
            <v>LAF5300</v>
          </cell>
          <cell r="L1346" t="str">
            <v>HD</v>
          </cell>
          <cell r="M1346" t="str">
            <v>x</v>
          </cell>
          <cell r="N1346" t="e">
            <v>#N/A</v>
          </cell>
          <cell r="O1346" t="str">
            <v>Cabin Air Filter</v>
          </cell>
        </row>
        <row r="1347">
          <cell r="K1347" t="str">
            <v>LAF1823</v>
          </cell>
          <cell r="L1347" t="str">
            <v>HD</v>
          </cell>
          <cell r="M1347" t="str">
            <v>x</v>
          </cell>
          <cell r="N1347" t="e">
            <v>#N/A</v>
          </cell>
          <cell r="O1347" t="str">
            <v>HD Metal-End Air Filter-Inner</v>
          </cell>
        </row>
        <row r="1348">
          <cell r="K1348" t="str">
            <v>LH4903</v>
          </cell>
          <cell r="L1348" t="str">
            <v>HD</v>
          </cell>
          <cell r="M1348" t="str">
            <v>x</v>
          </cell>
          <cell r="N1348" t="e">
            <v>#N/A</v>
          </cell>
          <cell r="O1348" t="str">
            <v>Cartridge Hydraulic Filter</v>
          </cell>
        </row>
        <row r="1349">
          <cell r="K1349" t="str">
            <v>LAF8548</v>
          </cell>
          <cell r="L1349" t="str">
            <v>HD</v>
          </cell>
          <cell r="M1349" t="str">
            <v>x</v>
          </cell>
          <cell r="N1349" t="e">
            <v>#N/A</v>
          </cell>
          <cell r="O1349" t="str">
            <v>HD Metal-End Air Filter</v>
          </cell>
        </row>
        <row r="1350">
          <cell r="K1350" t="str">
            <v>LP2315</v>
          </cell>
          <cell r="L1350" t="str">
            <v>HD</v>
          </cell>
          <cell r="M1350" t="str">
            <v>x</v>
          </cell>
          <cell r="N1350" t="e">
            <v>#N/A</v>
          </cell>
          <cell r="O1350" t="str">
            <v>Cartridge Oil Filter</v>
          </cell>
        </row>
        <row r="1351">
          <cell r="K1351" t="str">
            <v>LAF3704</v>
          </cell>
          <cell r="L1351" t="str">
            <v>HD</v>
          </cell>
          <cell r="M1351" t="str">
            <v>x</v>
          </cell>
          <cell r="N1351" t="e">
            <v>#N/A</v>
          </cell>
          <cell r="O1351" t="str">
            <v>HD Metal-End Air Filter</v>
          </cell>
        </row>
        <row r="1352">
          <cell r="K1352" t="str">
            <v>LP2320</v>
          </cell>
          <cell r="L1352" t="str">
            <v>HD</v>
          </cell>
          <cell r="M1352" t="str">
            <v>x</v>
          </cell>
          <cell r="N1352" t="e">
            <v>#N/A</v>
          </cell>
          <cell r="O1352" t="str">
            <v>Cartridge Hydraulic Filter</v>
          </cell>
        </row>
        <row r="1353">
          <cell r="K1353" t="str">
            <v>LAF5474</v>
          </cell>
          <cell r="L1353" t="str">
            <v>HD</v>
          </cell>
          <cell r="M1353" t="str">
            <v>x</v>
          </cell>
          <cell r="N1353" t="e">
            <v>#N/A</v>
          </cell>
          <cell r="O1353" t="str">
            <v>Radial Seal Outer Air Filter</v>
          </cell>
        </row>
        <row r="1354">
          <cell r="K1354" t="str">
            <v>LAF8390</v>
          </cell>
          <cell r="L1354" t="str">
            <v>HD</v>
          </cell>
          <cell r="M1354" t="str">
            <v>x</v>
          </cell>
          <cell r="N1354" t="e">
            <v>#N/A</v>
          </cell>
          <cell r="O1354" t="str">
            <v>Round Inner Air Filter with Flanged Endcap</v>
          </cell>
        </row>
        <row r="1355">
          <cell r="K1355" t="str">
            <v>LAF8648</v>
          </cell>
          <cell r="L1355" t="str">
            <v>HD</v>
          </cell>
          <cell r="M1355" t="str">
            <v>x</v>
          </cell>
          <cell r="N1355" t="e">
            <v>#N/A</v>
          </cell>
          <cell r="O1355" t="str">
            <v>HD Metal-End Inner Air Filter</v>
          </cell>
        </row>
        <row r="1356">
          <cell r="K1356" t="str">
            <v>LFH8398</v>
          </cell>
          <cell r="L1356" t="str">
            <v>HD</v>
          </cell>
          <cell r="M1356" t="str">
            <v>x</v>
          </cell>
          <cell r="N1356" t="e">
            <v>#N/A</v>
          </cell>
          <cell r="O1356" t="str">
            <v>Hydraulic Spin-on Filter</v>
          </cell>
        </row>
        <row r="1357">
          <cell r="K1357" t="str">
            <v>LH8785</v>
          </cell>
          <cell r="L1357" t="str">
            <v>HD</v>
          </cell>
          <cell r="M1357" t="str">
            <v>x</v>
          </cell>
          <cell r="N1357" t="e">
            <v>#N/A</v>
          </cell>
          <cell r="O1357" t="str">
            <v>Cartridge Hydraulic Filter</v>
          </cell>
        </row>
        <row r="1358">
          <cell r="K1358" t="str">
            <v>LH4170</v>
          </cell>
          <cell r="L1358" t="str">
            <v>HD</v>
          </cell>
          <cell r="M1358" t="str">
            <v>x</v>
          </cell>
          <cell r="N1358" t="e">
            <v>#N/A</v>
          </cell>
          <cell r="O1358" t="str">
            <v>Cartridge Hydraulic Filter</v>
          </cell>
        </row>
        <row r="1359">
          <cell r="K1359" t="str">
            <v>LH22125</v>
          </cell>
          <cell r="L1359" t="str">
            <v>HD</v>
          </cell>
          <cell r="M1359" t="str">
            <v>x</v>
          </cell>
          <cell r="N1359" t="e">
            <v>#N/A</v>
          </cell>
          <cell r="O1359" t="str">
            <v>Cartridge Hydraulic Filter</v>
          </cell>
        </row>
        <row r="1360">
          <cell r="K1360" t="str">
            <v>LH4369</v>
          </cell>
          <cell r="L1360" t="str">
            <v>HD</v>
          </cell>
          <cell r="M1360" t="str">
            <v>x</v>
          </cell>
          <cell r="N1360" t="e">
            <v>#N/A</v>
          </cell>
          <cell r="O1360" t="str">
            <v>Cartridge Hydraulic Filter</v>
          </cell>
        </row>
        <row r="1361">
          <cell r="K1361" t="str">
            <v>LFH4447</v>
          </cell>
          <cell r="L1361" t="str">
            <v>HD</v>
          </cell>
          <cell r="M1361" t="str">
            <v>x</v>
          </cell>
          <cell r="N1361" t="e">
            <v>#N/A</v>
          </cell>
          <cell r="O1361" t="str">
            <v>Spin-on Hydraulic Filter</v>
          </cell>
        </row>
        <row r="1362">
          <cell r="K1362" t="str">
            <v>LH4985</v>
          </cell>
          <cell r="L1362" t="str">
            <v>HD</v>
          </cell>
          <cell r="M1362" t="str">
            <v>x</v>
          </cell>
          <cell r="N1362" t="e">
            <v>#N/A</v>
          </cell>
          <cell r="O1362" t="str">
            <v>Cartridge Hydraulic Filter</v>
          </cell>
        </row>
        <row r="1363">
          <cell r="K1363" t="str">
            <v>LAF122</v>
          </cell>
          <cell r="L1363" t="str">
            <v>HD</v>
          </cell>
          <cell r="M1363" t="str">
            <v>x</v>
          </cell>
          <cell r="N1363" t="e">
            <v>#N/A</v>
          </cell>
          <cell r="O1363" t="str">
            <v>Round Air Filter</v>
          </cell>
        </row>
        <row r="1364">
          <cell r="K1364" t="str">
            <v>LAF2515</v>
          </cell>
          <cell r="L1364" t="str">
            <v>HD</v>
          </cell>
          <cell r="M1364" t="str">
            <v>x</v>
          </cell>
          <cell r="N1364" t="e">
            <v>#N/A</v>
          </cell>
          <cell r="O1364" t="str">
            <v>HD Metal-End Air Filter</v>
          </cell>
        </row>
        <row r="1365">
          <cell r="K1365" t="str">
            <v>LP468</v>
          </cell>
          <cell r="L1365" t="str">
            <v>HD</v>
          </cell>
          <cell r="M1365" t="str">
            <v>x</v>
          </cell>
          <cell r="N1365" t="e">
            <v>#N/A</v>
          </cell>
          <cell r="O1365" t="str">
            <v>Cartridge Hydraulic Filter</v>
          </cell>
        </row>
        <row r="1366">
          <cell r="K1366" t="str">
            <v>4069</v>
          </cell>
          <cell r="L1366" t="str">
            <v>HD</v>
          </cell>
          <cell r="M1366" t="str">
            <v>x</v>
          </cell>
          <cell r="N1366" t="e">
            <v>#N/A</v>
          </cell>
          <cell r="O1366" t="str">
            <v>Gasket, Replaces Cummins 164159</v>
          </cell>
        </row>
        <row r="1367">
          <cell r="K1367">
            <v>363</v>
          </cell>
          <cell r="L1367" t="str">
            <v>HD</v>
          </cell>
          <cell r="M1367" t="str">
            <v>x</v>
          </cell>
          <cell r="N1367" t="e">
            <v>#N/A</v>
          </cell>
          <cell r="O1367" t="str">
            <v>Luber-finer 363 diesel pak element filter (opt. applications) detergent type lube oil</v>
          </cell>
        </row>
        <row r="1368">
          <cell r="K1368" t="str">
            <v>970C</v>
          </cell>
          <cell r="L1368" t="str">
            <v>HD</v>
          </cell>
          <cell r="M1368" t="str">
            <v>x</v>
          </cell>
          <cell r="N1368" t="e">
            <v>#N/A</v>
          </cell>
          <cell r="O1368" t="str">
            <v>Industrial Full-flow Unit w/LP970-5 Element/970-C Filter</v>
          </cell>
        </row>
        <row r="1369">
          <cell r="K1369" t="str">
            <v>LAF8200</v>
          </cell>
          <cell r="L1369" t="str">
            <v>HD</v>
          </cell>
          <cell r="M1369" t="str">
            <v>x</v>
          </cell>
          <cell r="N1369" t="str">
            <v>LAF8200</v>
          </cell>
          <cell r="O1369" t="str">
            <v>Round Air Filter</v>
          </cell>
        </row>
        <row r="1370">
          <cell r="K1370" t="str">
            <v>LAF880</v>
          </cell>
          <cell r="L1370" t="str">
            <v>HD</v>
          </cell>
          <cell r="M1370" t="str">
            <v>x</v>
          </cell>
          <cell r="N1370" t="e">
            <v>#N/A</v>
          </cell>
          <cell r="O1370" t="str">
            <v>HD Round Air Filter with Attached Boot</v>
          </cell>
        </row>
        <row r="1371">
          <cell r="K1371" t="str">
            <v>LAF1863</v>
          </cell>
          <cell r="L1371" t="str">
            <v>HD</v>
          </cell>
          <cell r="M1371" t="str">
            <v>x</v>
          </cell>
          <cell r="N1371" t="e">
            <v>#N/A</v>
          </cell>
          <cell r="O1371" t="str">
            <v>HD Metal-End Air Filter</v>
          </cell>
        </row>
        <row r="1372">
          <cell r="K1372" t="str">
            <v>LK291D</v>
          </cell>
          <cell r="L1372" t="str">
            <v>HD</v>
          </cell>
          <cell r="M1372" t="str">
            <v>x</v>
          </cell>
          <cell r="N1372" t="e">
            <v>#N/A</v>
          </cell>
          <cell r="O1372" t="str">
            <v>Detroit Diesel Engine Maintenance Kit</v>
          </cell>
        </row>
        <row r="1373">
          <cell r="K1373" t="str">
            <v>L3514F</v>
          </cell>
          <cell r="L1373" t="str">
            <v>HD</v>
          </cell>
          <cell r="M1373" t="str">
            <v>x</v>
          </cell>
          <cell r="N1373" t="e">
            <v>#N/A</v>
          </cell>
          <cell r="O1373" t="str">
            <v>Cartridge Fuel Filter</v>
          </cell>
        </row>
        <row r="1374">
          <cell r="K1374" t="str">
            <v>LFH8177</v>
          </cell>
          <cell r="L1374" t="str">
            <v>HD</v>
          </cell>
          <cell r="M1374" t="str">
            <v>x</v>
          </cell>
          <cell r="N1374" t="e">
            <v>#N/A</v>
          </cell>
          <cell r="O1374" t="str">
            <v>Spin-on Hydraulic Filter</v>
          </cell>
        </row>
        <row r="1375">
          <cell r="K1375" t="str">
            <v>LAF8151</v>
          </cell>
          <cell r="L1375" t="str">
            <v>HD</v>
          </cell>
          <cell r="M1375" t="str">
            <v>x</v>
          </cell>
          <cell r="N1375" t="e">
            <v>#N/A</v>
          </cell>
          <cell r="O1375" t="str">
            <v>Radial Seal Outer Air Filter</v>
          </cell>
        </row>
        <row r="1376">
          <cell r="K1376" t="str">
            <v>LAF8513</v>
          </cell>
          <cell r="L1376" t="str">
            <v>HD</v>
          </cell>
          <cell r="M1376" t="str">
            <v>x</v>
          </cell>
          <cell r="N1376" t="e">
            <v>#N/A</v>
          </cell>
          <cell r="O1376" t="str">
            <v>HD Metal-End Inner Air Filter</v>
          </cell>
        </row>
        <row r="1377">
          <cell r="K1377" t="str">
            <v>LMB2000</v>
          </cell>
          <cell r="L1377" t="str">
            <v>HD</v>
          </cell>
          <cell r="M1377" t="str">
            <v>x</v>
          </cell>
          <cell r="N1377" t="e">
            <v>#N/A</v>
          </cell>
          <cell r="O1377" t="str">
            <v>Coalescer Filter Base Base used with LFP2000C, LFP2100C, LFP2200C, LFP3100C and LFP3200C</v>
          </cell>
        </row>
        <row r="1378">
          <cell r="K1378" t="str">
            <v>LAF512</v>
          </cell>
          <cell r="L1378" t="str">
            <v>HD</v>
          </cell>
          <cell r="M1378" t="str">
            <v>x</v>
          </cell>
          <cell r="N1378" t="e">
            <v>#N/A</v>
          </cell>
          <cell r="O1378" t="str">
            <v>Rigid Panel Air Filter</v>
          </cell>
        </row>
        <row r="1379">
          <cell r="K1379" t="str">
            <v>LAF4040</v>
          </cell>
          <cell r="L1379" t="str">
            <v>HD</v>
          </cell>
          <cell r="M1379" t="str">
            <v>x</v>
          </cell>
          <cell r="N1379" t="e">
            <v>#N/A</v>
          </cell>
          <cell r="O1379" t="str">
            <v>Tube Type Air Filter</v>
          </cell>
        </row>
        <row r="1380">
          <cell r="K1380" t="str">
            <v>LAF6453MXM</v>
          </cell>
          <cell r="L1380" t="str">
            <v>HD</v>
          </cell>
          <cell r="M1380" t="str">
            <v>x</v>
          </cell>
          <cell r="N1380" t="e">
            <v>#N/A</v>
          </cell>
          <cell r="O1380" t="str">
            <v>Nano Tech Air Filter w/Attached boot</v>
          </cell>
        </row>
        <row r="1381">
          <cell r="K1381" t="str">
            <v>LAF5765</v>
          </cell>
          <cell r="L1381" t="str">
            <v>HD</v>
          </cell>
          <cell r="M1381" t="str">
            <v>x</v>
          </cell>
          <cell r="N1381" t="e">
            <v>#N/A</v>
          </cell>
          <cell r="O1381" t="str">
            <v>Radial Seal Outer Air Filter</v>
          </cell>
        </row>
        <row r="1382">
          <cell r="K1382" t="str">
            <v>LFP5015G</v>
          </cell>
          <cell r="L1382" t="str">
            <v>HD</v>
          </cell>
          <cell r="M1382" t="str">
            <v>x</v>
          </cell>
          <cell r="N1382" t="e">
            <v>#N/A</v>
          </cell>
          <cell r="O1382" t="str">
            <v>Spin-on Hydraulic Filter</v>
          </cell>
        </row>
        <row r="1383">
          <cell r="K1383" t="str">
            <v>L9890F</v>
          </cell>
          <cell r="L1383" t="str">
            <v>HD</v>
          </cell>
          <cell r="M1383" t="str">
            <v>x</v>
          </cell>
          <cell r="N1383" t="e">
            <v>#N/A</v>
          </cell>
          <cell r="O1383" t="str">
            <v>Cartridge Fuel Filter</v>
          </cell>
        </row>
        <row r="1384">
          <cell r="K1384" t="str">
            <v>LAF2020</v>
          </cell>
          <cell r="L1384" t="str">
            <v>HD</v>
          </cell>
          <cell r="M1384" t="str">
            <v>x</v>
          </cell>
          <cell r="N1384" t="e">
            <v>#N/A</v>
          </cell>
          <cell r="O1384" t="str">
            <v>Tube Type Air Filter</v>
          </cell>
        </row>
        <row r="1385">
          <cell r="K1385" t="str">
            <v>LAF3705</v>
          </cell>
          <cell r="L1385" t="str">
            <v>HD</v>
          </cell>
          <cell r="M1385" t="str">
            <v>x</v>
          </cell>
          <cell r="N1385" t="e">
            <v>#N/A</v>
          </cell>
          <cell r="O1385" t="str">
            <v>HD Metal-End Air Filter with Attached Lid</v>
          </cell>
        </row>
        <row r="1386">
          <cell r="K1386" t="str">
            <v>LAF1959</v>
          </cell>
          <cell r="L1386" t="str">
            <v>HD</v>
          </cell>
          <cell r="M1386" t="str">
            <v>x</v>
          </cell>
          <cell r="N1386" t="e">
            <v>#N/A</v>
          </cell>
          <cell r="O1386" t="str">
            <v>HD Metal-End Air Filter</v>
          </cell>
        </row>
        <row r="1387">
          <cell r="K1387" t="str">
            <v>LAF4364</v>
          </cell>
          <cell r="L1387" t="str">
            <v>HD</v>
          </cell>
          <cell r="M1387" t="str">
            <v>x</v>
          </cell>
          <cell r="N1387" t="e">
            <v>#N/A</v>
          </cell>
          <cell r="O1387" t="str">
            <v>Foam Cabin Air Filter</v>
          </cell>
        </row>
        <row r="1388">
          <cell r="K1388" t="str">
            <v>LAF8778</v>
          </cell>
          <cell r="L1388" t="str">
            <v>HD</v>
          </cell>
          <cell r="M1388" t="str">
            <v>x</v>
          </cell>
          <cell r="N1388" t="e">
            <v>#N/A</v>
          </cell>
          <cell r="O1388" t="str">
            <v>Panel Air Filter Metal Framed</v>
          </cell>
        </row>
        <row r="1389">
          <cell r="K1389" t="str">
            <v>LAF6401</v>
          </cell>
          <cell r="L1389" t="str">
            <v>HD</v>
          </cell>
          <cell r="M1389" t="str">
            <v>x</v>
          </cell>
          <cell r="N1389" t="e">
            <v>#N/A</v>
          </cell>
          <cell r="O1389" t="str">
            <v>HD Metal-End Air Filter-Inner</v>
          </cell>
        </row>
        <row r="1390">
          <cell r="K1390" t="str">
            <v>PH6714</v>
          </cell>
          <cell r="L1390" t="str">
            <v>HD</v>
          </cell>
          <cell r="N1390" t="e">
            <v>#N/A</v>
          </cell>
          <cell r="O1390" t="str">
            <v>Spin-on Oil Filter</v>
          </cell>
        </row>
        <row r="1391">
          <cell r="K1391" t="str">
            <v>LAF2746</v>
          </cell>
          <cell r="L1391" t="str">
            <v>HD</v>
          </cell>
          <cell r="M1391" t="str">
            <v>x</v>
          </cell>
          <cell r="N1391" t="e">
            <v>#N/A</v>
          </cell>
          <cell r="O1391" t="str">
            <v>HD Metal-End Air Filter-Inner</v>
          </cell>
        </row>
        <row r="1392">
          <cell r="K1392" t="str">
            <v>LFF8981</v>
          </cell>
          <cell r="L1392" t="str">
            <v>HD</v>
          </cell>
          <cell r="M1392" t="str">
            <v>x</v>
          </cell>
          <cell r="N1392" t="e">
            <v>#N/A</v>
          </cell>
          <cell r="O1392" t="str">
            <v>Spin-on Fuel Water Separator Filter</v>
          </cell>
        </row>
        <row r="1393">
          <cell r="K1393" t="str">
            <v>750CT</v>
          </cell>
          <cell r="L1393" t="str">
            <v>HD</v>
          </cell>
          <cell r="M1393" t="str">
            <v>x</v>
          </cell>
          <cell r="N1393" t="e">
            <v>#N/A</v>
          </cell>
          <cell r="O1393" t="str">
            <v>Unit Universal Mount 750-CT</v>
          </cell>
        </row>
        <row r="1394">
          <cell r="K1394" t="str">
            <v>LAF4504</v>
          </cell>
          <cell r="L1394" t="str">
            <v>HD</v>
          </cell>
          <cell r="M1394" t="str">
            <v>x</v>
          </cell>
          <cell r="N1394" t="e">
            <v>#N/A</v>
          </cell>
          <cell r="O1394" t="str">
            <v>Radial Seal Inner Air Filter</v>
          </cell>
        </row>
        <row r="1395">
          <cell r="K1395" t="str">
            <v>LAF3048</v>
          </cell>
          <cell r="L1395" t="str">
            <v>HD</v>
          </cell>
          <cell r="M1395" t="str">
            <v>x</v>
          </cell>
          <cell r="N1395" t="e">
            <v>#N/A</v>
          </cell>
          <cell r="O1395" t="str">
            <v>Round Inner Air Filter with Flanged Endcap</v>
          </cell>
        </row>
        <row r="1396">
          <cell r="K1396" t="str">
            <v>LAF8483</v>
          </cell>
          <cell r="L1396" t="str">
            <v>HD</v>
          </cell>
          <cell r="M1396" t="str">
            <v>x</v>
          </cell>
          <cell r="N1396" t="e">
            <v>#N/A</v>
          </cell>
          <cell r="O1396" t="str">
            <v>HD Metal-End Air Filter</v>
          </cell>
        </row>
        <row r="1397">
          <cell r="K1397" t="str">
            <v>L60F</v>
          </cell>
          <cell r="L1397" t="str">
            <v>HD</v>
          </cell>
          <cell r="M1397" t="str">
            <v>x</v>
          </cell>
          <cell r="N1397" t="e">
            <v>#N/A</v>
          </cell>
          <cell r="O1397" t="str">
            <v>Cartridge Fuel Filter</v>
          </cell>
        </row>
        <row r="1398">
          <cell r="K1398" t="str">
            <v>LP135</v>
          </cell>
          <cell r="L1398" t="str">
            <v>HD</v>
          </cell>
          <cell r="M1398" t="str">
            <v>x</v>
          </cell>
          <cell r="N1398" t="e">
            <v>#N/A</v>
          </cell>
          <cell r="O1398" t="str">
            <v>Cartridge Oil Filter</v>
          </cell>
        </row>
        <row r="1399">
          <cell r="K1399" t="str">
            <v>LH4942</v>
          </cell>
          <cell r="L1399" t="str">
            <v>HD</v>
          </cell>
          <cell r="M1399" t="str">
            <v>x</v>
          </cell>
          <cell r="N1399" t="e">
            <v>#N/A</v>
          </cell>
          <cell r="O1399" t="str">
            <v>Cartridge Hydraulic Filter</v>
          </cell>
        </row>
        <row r="1400">
          <cell r="K1400" t="str">
            <v>LAF2438</v>
          </cell>
          <cell r="L1400" t="str">
            <v>HD</v>
          </cell>
          <cell r="M1400" t="str">
            <v>x</v>
          </cell>
          <cell r="N1400" t="e">
            <v>#N/A</v>
          </cell>
          <cell r="O1400" t="str">
            <v>Tube Type Air Filter</v>
          </cell>
        </row>
        <row r="1401">
          <cell r="K1401" t="str">
            <v>LAF879</v>
          </cell>
          <cell r="L1401" t="str">
            <v>HD</v>
          </cell>
          <cell r="M1401" t="str">
            <v>x</v>
          </cell>
          <cell r="N1401" t="e">
            <v>#N/A</v>
          </cell>
          <cell r="O1401" t="str">
            <v>HD Metal-End Inner Air Filter</v>
          </cell>
        </row>
        <row r="1402">
          <cell r="K1402" t="str">
            <v>LH4932G</v>
          </cell>
          <cell r="L1402" t="str">
            <v>HD</v>
          </cell>
          <cell r="M1402" t="str">
            <v>x</v>
          </cell>
          <cell r="N1402" t="e">
            <v>#N/A</v>
          </cell>
          <cell r="O1402" t="str">
            <v>Cartridge Hydraulic Filter</v>
          </cell>
        </row>
        <row r="1403">
          <cell r="K1403" t="str">
            <v>LH9187</v>
          </cell>
          <cell r="L1403" t="str">
            <v>HD</v>
          </cell>
          <cell r="M1403" t="str">
            <v>x</v>
          </cell>
          <cell r="N1403" t="e">
            <v>#N/A</v>
          </cell>
          <cell r="O1403" t="str">
            <v>Cartridge Hydraulic Filter</v>
          </cell>
        </row>
        <row r="1404">
          <cell r="K1404" t="str">
            <v>LAF9726</v>
          </cell>
          <cell r="L1404" t="str">
            <v>HD</v>
          </cell>
          <cell r="M1404" t="str">
            <v>x</v>
          </cell>
          <cell r="N1404" t="e">
            <v>#N/A</v>
          </cell>
          <cell r="O1404" t="str">
            <v>HD Metal-End Air Filter</v>
          </cell>
        </row>
        <row r="1405">
          <cell r="K1405" t="str">
            <v>LAF5819</v>
          </cell>
          <cell r="L1405" t="str">
            <v>HD</v>
          </cell>
          <cell r="M1405" t="str">
            <v>x</v>
          </cell>
          <cell r="N1405" t="e">
            <v>#N/A</v>
          </cell>
          <cell r="O1405" t="str">
            <v>Rigid Panel Air Filter</v>
          </cell>
        </row>
        <row r="1406">
          <cell r="K1406" t="str">
            <v>LAF1907</v>
          </cell>
          <cell r="L1406" t="str">
            <v>HD</v>
          </cell>
          <cell r="M1406" t="str">
            <v>x</v>
          </cell>
          <cell r="N1406" t="e">
            <v>#N/A</v>
          </cell>
          <cell r="O1406" t="str">
            <v>Finned Vane Air Filter</v>
          </cell>
        </row>
        <row r="1407">
          <cell r="K1407" t="str">
            <v>LAF3532</v>
          </cell>
          <cell r="L1407" t="str">
            <v>HD</v>
          </cell>
          <cell r="M1407" t="str">
            <v>x</v>
          </cell>
          <cell r="N1407" t="e">
            <v>#N/A</v>
          </cell>
          <cell r="O1407" t="str">
            <v>Radial Seal Outer Air Filter</v>
          </cell>
        </row>
        <row r="1408">
          <cell r="K1408" t="str">
            <v>LAF1484</v>
          </cell>
          <cell r="L1408" t="str">
            <v>HD</v>
          </cell>
          <cell r="M1408" t="str">
            <v>x</v>
          </cell>
          <cell r="N1408" t="e">
            <v>#N/A</v>
          </cell>
          <cell r="O1408" t="str">
            <v>Panel Air Filter Irregular Shaped</v>
          </cell>
        </row>
        <row r="1409">
          <cell r="K1409" t="str">
            <v>LH3879</v>
          </cell>
          <cell r="L1409" t="str">
            <v>HD</v>
          </cell>
          <cell r="M1409" t="str">
            <v>x</v>
          </cell>
          <cell r="N1409" t="e">
            <v>#N/A</v>
          </cell>
          <cell r="O1409" t="str">
            <v>Cartridge Hydraulic Filter</v>
          </cell>
        </row>
        <row r="1410">
          <cell r="K1410" t="str">
            <v>LH4233</v>
          </cell>
          <cell r="L1410" t="str">
            <v>HD</v>
          </cell>
          <cell r="M1410" t="str">
            <v>x</v>
          </cell>
          <cell r="N1410" t="e">
            <v>#N/A</v>
          </cell>
          <cell r="O1410" t="str">
            <v>Cartridge Hydraulic Filter</v>
          </cell>
        </row>
        <row r="1411">
          <cell r="K1411" t="str">
            <v>LP5905</v>
          </cell>
          <cell r="L1411" t="str">
            <v>HD</v>
          </cell>
          <cell r="M1411" t="str">
            <v>x</v>
          </cell>
          <cell r="N1411" t="e">
            <v>#N/A</v>
          </cell>
          <cell r="O1411" t="str">
            <v>Cartridge Oil Filter</v>
          </cell>
        </row>
        <row r="1412">
          <cell r="K1412" t="str">
            <v>LAF1735</v>
          </cell>
          <cell r="L1412" t="str">
            <v>HD</v>
          </cell>
          <cell r="M1412" t="str">
            <v>x</v>
          </cell>
          <cell r="N1412" t="e">
            <v>#N/A</v>
          </cell>
          <cell r="O1412" t="str">
            <v>HD Metal-End Air Filter-Inner</v>
          </cell>
        </row>
        <row r="1413">
          <cell r="K1413" t="str">
            <v>LAF8620</v>
          </cell>
          <cell r="L1413" t="str">
            <v>HD</v>
          </cell>
          <cell r="M1413" t="str">
            <v>x</v>
          </cell>
          <cell r="N1413" t="e">
            <v>#N/A</v>
          </cell>
          <cell r="O1413" t="str">
            <v>HD Round Finned Air Filter with Attached Lid</v>
          </cell>
        </row>
        <row r="1414">
          <cell r="K1414" t="str">
            <v>LAF8599</v>
          </cell>
          <cell r="L1414" t="str">
            <v>HD</v>
          </cell>
          <cell r="M1414" t="str">
            <v>x</v>
          </cell>
          <cell r="N1414" t="str">
            <v>LAF8599</v>
          </cell>
          <cell r="O1414" t="str">
            <v>Round Air Filter</v>
          </cell>
        </row>
        <row r="1415">
          <cell r="K1415" t="str">
            <v>LAF1871</v>
          </cell>
          <cell r="L1415" t="str">
            <v>HD</v>
          </cell>
          <cell r="M1415" t="str">
            <v>x</v>
          </cell>
          <cell r="N1415" t="e">
            <v>#N/A</v>
          </cell>
          <cell r="O1415" t="str">
            <v>Flexible Panel Air Filter</v>
          </cell>
        </row>
        <row r="1416">
          <cell r="K1416" t="str">
            <v>970C</v>
          </cell>
          <cell r="L1416" t="str">
            <v>HD</v>
          </cell>
          <cell r="M1416" t="str">
            <v>x</v>
          </cell>
          <cell r="N1416" t="e">
            <v>#N/A</v>
          </cell>
          <cell r="O1416" t="str">
            <v>Industrial Full-flow Unit w/LP970-10 Element Filter</v>
          </cell>
        </row>
        <row r="1417">
          <cell r="K1417" t="str">
            <v>LFH4204XL</v>
          </cell>
          <cell r="L1417" t="str">
            <v>HD</v>
          </cell>
          <cell r="M1417" t="str">
            <v>x</v>
          </cell>
          <cell r="N1417" t="e">
            <v>#N/A</v>
          </cell>
          <cell r="O1417" t="str">
            <v>Extended Life Hydraulic Spin-on Filter</v>
          </cell>
        </row>
        <row r="1418">
          <cell r="K1418" t="str">
            <v>LAF8083</v>
          </cell>
          <cell r="L1418" t="str">
            <v>HD</v>
          </cell>
          <cell r="M1418" t="str">
            <v>x</v>
          </cell>
          <cell r="N1418" t="e">
            <v>#N/A</v>
          </cell>
          <cell r="O1418" t="str">
            <v>HD Round Air Filter with Attached Boot</v>
          </cell>
        </row>
        <row r="1419">
          <cell r="K1419" t="str">
            <v>LAF8657</v>
          </cell>
          <cell r="L1419" t="str">
            <v>HD</v>
          </cell>
          <cell r="M1419" t="str">
            <v>x</v>
          </cell>
          <cell r="N1419" t="e">
            <v>#N/A</v>
          </cell>
          <cell r="O1419" t="str">
            <v>HD Metal-End Air Filter</v>
          </cell>
        </row>
        <row r="1420">
          <cell r="K1420" t="str">
            <v>LP2279</v>
          </cell>
          <cell r="L1420" t="str">
            <v>HD</v>
          </cell>
          <cell r="M1420" t="str">
            <v>x</v>
          </cell>
          <cell r="N1420" t="e">
            <v>#N/A</v>
          </cell>
          <cell r="O1420" t="str">
            <v>Cartridge Oil Filter</v>
          </cell>
        </row>
        <row r="1421">
          <cell r="K1421" t="str">
            <v>LFH22150</v>
          </cell>
          <cell r="L1421" t="str">
            <v>HD</v>
          </cell>
          <cell r="M1421" t="str">
            <v>x</v>
          </cell>
          <cell r="N1421" t="e">
            <v>#N/A</v>
          </cell>
          <cell r="O1421" t="str">
            <v>Spin-on Hydraulic Filter</v>
          </cell>
        </row>
        <row r="1422">
          <cell r="K1422" t="str">
            <v>LFH9499</v>
          </cell>
          <cell r="L1422" t="str">
            <v>HD</v>
          </cell>
          <cell r="M1422" t="str">
            <v>x</v>
          </cell>
          <cell r="N1422" t="e">
            <v>#N/A</v>
          </cell>
          <cell r="O1422" t="str">
            <v>Spin-on Hydraulic Filter</v>
          </cell>
        </row>
        <row r="1423">
          <cell r="K1423" t="str">
            <v>FP887F</v>
          </cell>
          <cell r="L1423" t="str">
            <v>HD</v>
          </cell>
          <cell r="M1423" t="str">
            <v>x</v>
          </cell>
          <cell r="N1423" t="e">
            <v>#N/A</v>
          </cell>
          <cell r="O1423" t="str">
            <v>Spin-on Fuel Water Separator Filter</v>
          </cell>
        </row>
        <row r="1424">
          <cell r="K1424" t="str">
            <v>LFF8101</v>
          </cell>
          <cell r="L1424" t="str">
            <v>HD</v>
          </cell>
          <cell r="M1424" t="str">
            <v>x</v>
          </cell>
          <cell r="N1424" t="e">
            <v>#N/A</v>
          </cell>
          <cell r="O1424" t="str">
            <v>Spin-on Fuel Filter</v>
          </cell>
        </row>
        <row r="1425">
          <cell r="K1425" t="str">
            <v>LK303M</v>
          </cell>
          <cell r="L1425" t="str">
            <v>HD</v>
          </cell>
          <cell r="M1425" t="str">
            <v>x</v>
          </cell>
          <cell r="N1425" t="e">
            <v>#N/A</v>
          </cell>
          <cell r="O1425" t="str">
            <v>Mack Engine Maintenance Kit</v>
          </cell>
        </row>
        <row r="1426">
          <cell r="K1426" t="str">
            <v>LAF1831</v>
          </cell>
          <cell r="L1426" t="str">
            <v>HD</v>
          </cell>
          <cell r="M1426" t="str">
            <v>x</v>
          </cell>
          <cell r="N1426" t="e">
            <v>#N/A</v>
          </cell>
          <cell r="O1426" t="str">
            <v>HD Metal-End Inner Air Filter</v>
          </cell>
        </row>
        <row r="1427">
          <cell r="K1427" t="str">
            <v>LAF1227</v>
          </cell>
          <cell r="L1427" t="str">
            <v>HD</v>
          </cell>
          <cell r="M1427" t="str">
            <v>x</v>
          </cell>
          <cell r="N1427" t="e">
            <v>#N/A</v>
          </cell>
          <cell r="O1427" t="str">
            <v>HD Metal-End Air Filter</v>
          </cell>
        </row>
        <row r="1428">
          <cell r="K1428" t="str">
            <v>LFP777G</v>
          </cell>
          <cell r="L1428" t="str">
            <v>HD</v>
          </cell>
          <cell r="M1428" t="str">
            <v>x</v>
          </cell>
          <cell r="N1428" t="e">
            <v>#N/A</v>
          </cell>
          <cell r="O1428" t="str">
            <v>Extended Life Spin-on By-Pass Oil Filter</v>
          </cell>
        </row>
        <row r="1429">
          <cell r="K1429" t="str">
            <v>L3539F</v>
          </cell>
          <cell r="L1429" t="str">
            <v>HD</v>
          </cell>
          <cell r="M1429" t="str">
            <v>x</v>
          </cell>
          <cell r="N1429" t="e">
            <v>#N/A</v>
          </cell>
          <cell r="O1429" t="str">
            <v>Cartridge Fuel Filter</v>
          </cell>
        </row>
        <row r="1430">
          <cell r="K1430" t="str">
            <v>LFF9006</v>
          </cell>
          <cell r="L1430" t="str">
            <v>HD</v>
          </cell>
          <cell r="M1430" t="str">
            <v>x</v>
          </cell>
          <cell r="N1430" t="e">
            <v>#N/A</v>
          </cell>
          <cell r="O1430" t="str">
            <v>Bowl Style Fuel Water Separator Filter</v>
          </cell>
        </row>
        <row r="1431">
          <cell r="K1431" t="str">
            <v>LFP2258</v>
          </cell>
          <cell r="L1431" t="str">
            <v>HD</v>
          </cell>
          <cell r="M1431" t="str">
            <v>x</v>
          </cell>
          <cell r="N1431" t="e">
            <v>#N/A</v>
          </cell>
          <cell r="O1431" t="str">
            <v>Spin-on Oil Filter</v>
          </cell>
        </row>
        <row r="1432">
          <cell r="K1432" t="str">
            <v>LAF1818MXM</v>
          </cell>
          <cell r="L1432" t="str">
            <v>HD</v>
          </cell>
          <cell r="M1432" t="str">
            <v>x</v>
          </cell>
          <cell r="N1432" t="e">
            <v>#N/A</v>
          </cell>
          <cell r="O1432" t="str">
            <v>Nano Tech w/Attached boot Air Filter</v>
          </cell>
        </row>
        <row r="1433">
          <cell r="K1433" t="str">
            <v>LFP4005TRT</v>
          </cell>
          <cell r="L1433" t="str">
            <v>HD</v>
          </cell>
          <cell r="M1433" t="str">
            <v>x</v>
          </cell>
          <cell r="N1433" t="e">
            <v>#N/A</v>
          </cell>
          <cell r="O1433" t="str">
            <v>Spin-on Oil Filter</v>
          </cell>
        </row>
        <row r="1434">
          <cell r="K1434" t="str">
            <v>LAF1455</v>
          </cell>
          <cell r="L1434" t="str">
            <v>HD</v>
          </cell>
          <cell r="M1434" t="str">
            <v>x</v>
          </cell>
          <cell r="N1434" t="e">
            <v>#N/A</v>
          </cell>
          <cell r="O1434" t="str">
            <v>Finned Vane Air Filter</v>
          </cell>
        </row>
        <row r="1435">
          <cell r="K1435" t="str">
            <v>LAF7414</v>
          </cell>
          <cell r="L1435" t="str">
            <v>HD</v>
          </cell>
          <cell r="M1435" t="str">
            <v>x</v>
          </cell>
          <cell r="N1435" t="e">
            <v>#N/A</v>
          </cell>
          <cell r="O1435" t="str">
            <v>HD Metal-End Inner Air Filter</v>
          </cell>
        </row>
        <row r="1436">
          <cell r="K1436" t="str">
            <v>LH8245</v>
          </cell>
          <cell r="L1436" t="str">
            <v>HD</v>
          </cell>
          <cell r="M1436" t="str">
            <v>x</v>
          </cell>
          <cell r="N1436" t="e">
            <v>#N/A</v>
          </cell>
          <cell r="O1436" t="str">
            <v>Cartridge Hydraulic Filter</v>
          </cell>
        </row>
        <row r="1437">
          <cell r="K1437" t="str">
            <v>LAF1888</v>
          </cell>
          <cell r="L1437" t="str">
            <v>HD</v>
          </cell>
          <cell r="M1437" t="str">
            <v>x</v>
          </cell>
          <cell r="N1437" t="e">
            <v>#N/A</v>
          </cell>
          <cell r="O1437" t="str">
            <v>HD Metal-End Air Filter</v>
          </cell>
        </row>
        <row r="1438">
          <cell r="K1438" t="str">
            <v>LAF8375</v>
          </cell>
          <cell r="L1438" t="str">
            <v>HD</v>
          </cell>
          <cell r="M1438" t="str">
            <v>x</v>
          </cell>
          <cell r="N1438" t="e">
            <v>#N/A</v>
          </cell>
          <cell r="O1438" t="str">
            <v>Round Air Filter with Foam Wrap</v>
          </cell>
        </row>
        <row r="1439">
          <cell r="K1439" t="str">
            <v>LAF8673</v>
          </cell>
          <cell r="L1439" t="str">
            <v>HD</v>
          </cell>
          <cell r="M1439" t="str">
            <v>x</v>
          </cell>
          <cell r="N1439" t="e">
            <v>#N/A</v>
          </cell>
          <cell r="O1439" t="str">
            <v>Radial Seal Outer Air Filter</v>
          </cell>
        </row>
        <row r="1440">
          <cell r="K1440" t="str">
            <v>LAF6966</v>
          </cell>
          <cell r="L1440" t="str">
            <v>HD</v>
          </cell>
          <cell r="M1440" t="str">
            <v>x</v>
          </cell>
          <cell r="N1440" t="e">
            <v>#N/A</v>
          </cell>
          <cell r="O1440" t="str">
            <v>HD Metal-End Air Filter</v>
          </cell>
        </row>
        <row r="1441">
          <cell r="K1441" t="str">
            <v>LFP8176</v>
          </cell>
          <cell r="L1441" t="str">
            <v>HD</v>
          </cell>
          <cell r="M1441" t="str">
            <v>x</v>
          </cell>
          <cell r="N1441" t="e">
            <v>#N/A</v>
          </cell>
          <cell r="O1441" t="str">
            <v>Spin-on Oil Filter</v>
          </cell>
        </row>
        <row r="1442">
          <cell r="K1442">
            <v>1142</v>
          </cell>
          <cell r="L1442" t="str">
            <v>HD</v>
          </cell>
          <cell r="M1442" t="str">
            <v>x</v>
          </cell>
          <cell r="N1442" t="e">
            <v>#N/A</v>
          </cell>
          <cell r="O1442" t="str">
            <v>Winslow 296G, Gasket used with L1874T</v>
          </cell>
        </row>
        <row r="1443">
          <cell r="K1443" t="str">
            <v>LAF5475</v>
          </cell>
          <cell r="L1443" t="str">
            <v>HD</v>
          </cell>
          <cell r="M1443" t="str">
            <v>x</v>
          </cell>
          <cell r="N1443" t="e">
            <v>#N/A</v>
          </cell>
          <cell r="O1443" t="str">
            <v>Radial Seal Inner Air Filter</v>
          </cell>
        </row>
        <row r="1444">
          <cell r="K1444" t="str">
            <v>LFF3403</v>
          </cell>
          <cell r="L1444" t="str">
            <v>HD</v>
          </cell>
          <cell r="M1444" t="str">
            <v>x</v>
          </cell>
          <cell r="N1444" t="e">
            <v>#N/A</v>
          </cell>
          <cell r="O1444" t="str">
            <v>Cartridge Fuel Filter</v>
          </cell>
        </row>
        <row r="1445">
          <cell r="K1445" t="str">
            <v>LH22002</v>
          </cell>
          <cell r="L1445" t="str">
            <v>HD</v>
          </cell>
          <cell r="M1445" t="str">
            <v>x</v>
          </cell>
          <cell r="N1445" t="e">
            <v>#N/A</v>
          </cell>
          <cell r="O1445" t="str">
            <v>Cartridge Hydraulic Filter</v>
          </cell>
        </row>
        <row r="1446">
          <cell r="K1446" t="str">
            <v>LAF6101</v>
          </cell>
          <cell r="L1446" t="str">
            <v>HD</v>
          </cell>
          <cell r="M1446" t="str">
            <v>x</v>
          </cell>
          <cell r="N1446" t="e">
            <v>#N/A</v>
          </cell>
          <cell r="O1446" t="str">
            <v>Radial Seal Air Filter (Primary)</v>
          </cell>
        </row>
        <row r="1447">
          <cell r="K1447" t="str">
            <v>LH8446</v>
          </cell>
          <cell r="L1447" t="str">
            <v>HD</v>
          </cell>
          <cell r="M1447" t="str">
            <v>x</v>
          </cell>
          <cell r="N1447" t="e">
            <v>#N/A</v>
          </cell>
          <cell r="O1447" t="str">
            <v>Cartridge hydraulic filter</v>
          </cell>
        </row>
        <row r="1448">
          <cell r="K1448" t="str">
            <v>LAF5354</v>
          </cell>
          <cell r="L1448" t="str">
            <v>HD</v>
          </cell>
          <cell r="M1448" t="str">
            <v>x</v>
          </cell>
          <cell r="N1448" t="e">
            <v>#N/A</v>
          </cell>
          <cell r="O1448" t="str">
            <v>Radial Seal Air Filter Outer</v>
          </cell>
        </row>
        <row r="1449">
          <cell r="K1449" t="str">
            <v>LAF1873</v>
          </cell>
          <cell r="L1449" t="str">
            <v>HD</v>
          </cell>
          <cell r="M1449" t="str">
            <v>x</v>
          </cell>
          <cell r="N1449" t="e">
            <v>#N/A</v>
          </cell>
          <cell r="O1449" t="str">
            <v>Flexible Panel Air Filter</v>
          </cell>
        </row>
        <row r="1450">
          <cell r="K1450" t="str">
            <v>LAF8803</v>
          </cell>
          <cell r="L1450" t="str">
            <v>HD</v>
          </cell>
          <cell r="M1450" t="str">
            <v>x</v>
          </cell>
          <cell r="N1450" t="e">
            <v>#N/A</v>
          </cell>
          <cell r="O1450" t="str">
            <v>HD Metal-End Air Filter-Inner</v>
          </cell>
        </row>
        <row r="1451">
          <cell r="K1451" t="str">
            <v>LAF5054A</v>
          </cell>
          <cell r="L1451" t="str">
            <v>HD</v>
          </cell>
          <cell r="M1451" t="str">
            <v>x</v>
          </cell>
          <cell r="N1451" t="e">
            <v>#N/A</v>
          </cell>
          <cell r="O1451" t="str">
            <v>Finned Vane Air Filter</v>
          </cell>
        </row>
        <row r="1452">
          <cell r="K1452" t="str">
            <v>L664F</v>
          </cell>
          <cell r="L1452" t="str">
            <v>HD</v>
          </cell>
          <cell r="M1452" t="str">
            <v>x</v>
          </cell>
          <cell r="N1452" t="e">
            <v>#N/A</v>
          </cell>
          <cell r="O1452" t="str">
            <v>Cartridge Fuel Filter</v>
          </cell>
        </row>
        <row r="1453">
          <cell r="K1453" t="str">
            <v>LAF7455</v>
          </cell>
          <cell r="L1453" t="str">
            <v>HD</v>
          </cell>
          <cell r="M1453" t="str">
            <v>x</v>
          </cell>
          <cell r="N1453" t="e">
            <v>#N/A</v>
          </cell>
          <cell r="O1453" t="str">
            <v>Disposible Housing Air Filter</v>
          </cell>
        </row>
        <row r="1454">
          <cell r="K1454" t="str">
            <v>LFH4936</v>
          </cell>
          <cell r="L1454" t="str">
            <v>HD</v>
          </cell>
          <cell r="M1454" t="str">
            <v>x</v>
          </cell>
          <cell r="N1454" t="e">
            <v>#N/A</v>
          </cell>
          <cell r="O1454" t="str">
            <v>Spin-on Hydraulic Filter</v>
          </cell>
        </row>
        <row r="1455">
          <cell r="K1455" t="str">
            <v>LAF506</v>
          </cell>
          <cell r="L1455" t="str">
            <v>HD</v>
          </cell>
          <cell r="M1455" t="str">
            <v>x</v>
          </cell>
          <cell r="N1455" t="e">
            <v>#N/A</v>
          </cell>
          <cell r="O1455" t="str">
            <v>Finned Vane Air Filter</v>
          </cell>
        </row>
        <row r="1456">
          <cell r="K1456" t="str">
            <v>LFP8244</v>
          </cell>
          <cell r="L1456" t="str">
            <v>HD</v>
          </cell>
          <cell r="M1456" t="str">
            <v>x</v>
          </cell>
          <cell r="N1456" t="e">
            <v>#N/A</v>
          </cell>
          <cell r="O1456" t="str">
            <v>Spin-on Oil Filter</v>
          </cell>
        </row>
        <row r="1457">
          <cell r="K1457" t="str">
            <v>LP2277</v>
          </cell>
          <cell r="L1457" t="str">
            <v>HD</v>
          </cell>
          <cell r="M1457" t="str">
            <v>x</v>
          </cell>
          <cell r="N1457" t="e">
            <v>#N/A</v>
          </cell>
          <cell r="O1457" t="str">
            <v>Cartridge Oil Filter</v>
          </cell>
        </row>
        <row r="1458">
          <cell r="K1458" t="str">
            <v>LAF22</v>
          </cell>
          <cell r="L1458" t="str">
            <v>HD</v>
          </cell>
          <cell r="M1458" t="str">
            <v>x</v>
          </cell>
          <cell r="N1458" t="e">
            <v>#N/A</v>
          </cell>
          <cell r="O1458" t="str">
            <v>Round Air Filter with Foam Wrap</v>
          </cell>
        </row>
        <row r="1459">
          <cell r="K1459">
            <v>3564</v>
          </cell>
          <cell r="L1459" t="str">
            <v>HD</v>
          </cell>
          <cell r="M1459" t="str">
            <v>x</v>
          </cell>
          <cell r="N1459" t="e">
            <v>#N/A</v>
          </cell>
          <cell r="O1459" t="str">
            <v>Replacement Clamp Screw For A 3566 Ring</v>
          </cell>
        </row>
        <row r="1460">
          <cell r="K1460" t="str">
            <v>HANDLE</v>
          </cell>
          <cell r="L1460" t="str">
            <v>HD</v>
          </cell>
          <cell r="M1460" t="str">
            <v>x</v>
          </cell>
          <cell r="N1460" t="e">
            <v>#N/A</v>
          </cell>
          <cell r="O1460" t="str">
            <v>Pack Hold Down Handle/500-C, 750-C, CT, 2C, 3C, 970-C</v>
          </cell>
        </row>
        <row r="1461">
          <cell r="K1461" t="str">
            <v>LAF8116</v>
          </cell>
          <cell r="L1461" t="str">
            <v>HD</v>
          </cell>
          <cell r="M1461" t="str">
            <v>x</v>
          </cell>
          <cell r="N1461" t="e">
            <v>#N/A</v>
          </cell>
          <cell r="O1461" t="str">
            <v>Nano Tech HD Metal End Air Filter</v>
          </cell>
        </row>
        <row r="1462">
          <cell r="K1462" t="str">
            <v>LAF6108</v>
          </cell>
          <cell r="L1462" t="str">
            <v>HD</v>
          </cell>
          <cell r="M1462" t="str">
            <v>x</v>
          </cell>
          <cell r="N1462" t="e">
            <v>#N/A</v>
          </cell>
          <cell r="O1462" t="str">
            <v>HD Metal-End Air Filter</v>
          </cell>
        </row>
        <row r="1463">
          <cell r="K1463" t="str">
            <v>LAF8212</v>
          </cell>
          <cell r="L1463" t="str">
            <v>HD</v>
          </cell>
          <cell r="M1463" t="str">
            <v>x</v>
          </cell>
          <cell r="N1463" t="e">
            <v>#N/A</v>
          </cell>
          <cell r="O1463" t="str">
            <v>Finned Vane Air Filter</v>
          </cell>
        </row>
        <row r="1464">
          <cell r="K1464" t="str">
            <v>LFP5760</v>
          </cell>
          <cell r="L1464" t="str">
            <v>HD</v>
          </cell>
          <cell r="M1464" t="str">
            <v>x</v>
          </cell>
          <cell r="N1464" t="e">
            <v>#N/A</v>
          </cell>
          <cell r="O1464" t="str">
            <v>Spin-on Oil Filter</v>
          </cell>
        </row>
        <row r="1465">
          <cell r="K1465" t="str">
            <v>LAF4360</v>
          </cell>
          <cell r="L1465" t="str">
            <v>HD</v>
          </cell>
          <cell r="M1465" t="str">
            <v>x</v>
          </cell>
          <cell r="N1465" t="e">
            <v>#N/A</v>
          </cell>
          <cell r="O1465" t="str">
            <v>Cone Shaped Conical Air Filter</v>
          </cell>
        </row>
        <row r="1466">
          <cell r="K1466" t="str">
            <v>LP2212</v>
          </cell>
          <cell r="L1466" t="str">
            <v>HD</v>
          </cell>
          <cell r="M1466" t="str">
            <v>x</v>
          </cell>
          <cell r="N1466" t="e">
            <v>#N/A</v>
          </cell>
          <cell r="O1466" t="str">
            <v>Cartridge Oil Filter</v>
          </cell>
        </row>
        <row r="1467">
          <cell r="K1467" t="str">
            <v>LFF8065</v>
          </cell>
          <cell r="L1467" t="str">
            <v>HD</v>
          </cell>
          <cell r="M1467" t="str">
            <v>x</v>
          </cell>
          <cell r="N1467" t="e">
            <v>#N/A</v>
          </cell>
          <cell r="O1467" t="str">
            <v>Spin-on Fuel Filter</v>
          </cell>
        </row>
        <row r="1468">
          <cell r="K1468" t="str">
            <v>LAF8770</v>
          </cell>
          <cell r="L1468" t="str">
            <v>HD</v>
          </cell>
          <cell r="M1468" t="str">
            <v>x</v>
          </cell>
          <cell r="N1468" t="str">
            <v>LAF8770</v>
          </cell>
          <cell r="O1468" t="str">
            <v>Radial Seal Inner Air Filter</v>
          </cell>
        </row>
        <row r="1469">
          <cell r="K1469" t="str">
            <v>LH11012V</v>
          </cell>
          <cell r="L1469" t="str">
            <v>HD</v>
          </cell>
          <cell r="M1469" t="str">
            <v>x</v>
          </cell>
          <cell r="N1469" t="e">
            <v>#N/A</v>
          </cell>
          <cell r="O1469" t="str">
            <v>Industrial Cartridge Hydraulic Filter</v>
          </cell>
        </row>
        <row r="1470">
          <cell r="K1470" t="str">
            <v>LAF1456</v>
          </cell>
          <cell r="L1470" t="str">
            <v>HD</v>
          </cell>
          <cell r="M1470" t="str">
            <v>x</v>
          </cell>
          <cell r="N1470" t="e">
            <v>#N/A</v>
          </cell>
          <cell r="O1470" t="str">
            <v>HD Metal-End Inner Air Filter</v>
          </cell>
        </row>
        <row r="1471">
          <cell r="K1471" t="str">
            <v>LAF5756</v>
          </cell>
          <cell r="L1471" t="str">
            <v>HD</v>
          </cell>
          <cell r="M1471" t="str">
            <v>x</v>
          </cell>
          <cell r="N1471" t="e">
            <v>#N/A</v>
          </cell>
          <cell r="O1471" t="str">
            <v>HD Cabin Air Filter</v>
          </cell>
        </row>
        <row r="1472">
          <cell r="K1472" t="str">
            <v>LFP5954</v>
          </cell>
          <cell r="L1472" t="str">
            <v>HD</v>
          </cell>
          <cell r="M1472" t="str">
            <v>x</v>
          </cell>
          <cell r="N1472" t="e">
            <v>#N/A</v>
          </cell>
          <cell r="O1472" t="str">
            <v>Spin-on Oil Filter</v>
          </cell>
        </row>
        <row r="1473">
          <cell r="K1473" t="str">
            <v>LAF5891</v>
          </cell>
          <cell r="L1473" t="str">
            <v>HD</v>
          </cell>
          <cell r="M1473" t="str">
            <v>x</v>
          </cell>
          <cell r="N1473" t="e">
            <v>#N/A</v>
          </cell>
          <cell r="O1473" t="str">
            <v>HD Round Finned Air Filter with Attached Lid</v>
          </cell>
        </row>
        <row r="1474">
          <cell r="K1474" t="str">
            <v>LAF5749</v>
          </cell>
          <cell r="L1474" t="str">
            <v>HD</v>
          </cell>
          <cell r="M1474" t="str">
            <v>x</v>
          </cell>
          <cell r="N1474" t="e">
            <v>#N/A</v>
          </cell>
          <cell r="O1474" t="str">
            <v>Radial Seal Inner Air Filter (Europe Only)</v>
          </cell>
        </row>
        <row r="1475">
          <cell r="K1475" t="str">
            <v>LAF1780</v>
          </cell>
          <cell r="L1475" t="str">
            <v>HD</v>
          </cell>
          <cell r="M1475" t="str">
            <v>x</v>
          </cell>
          <cell r="N1475" t="e">
            <v>#N/A</v>
          </cell>
          <cell r="O1475" t="str">
            <v>HD Metal-End Inner Air Filter</v>
          </cell>
        </row>
        <row r="1476">
          <cell r="K1476" t="str">
            <v>LAF1931</v>
          </cell>
          <cell r="L1476" t="str">
            <v>HD</v>
          </cell>
          <cell r="M1476" t="str">
            <v>x</v>
          </cell>
          <cell r="N1476" t="e">
            <v>#N/A</v>
          </cell>
          <cell r="O1476" t="str">
            <v>HD Metal-End Inner Air Filter</v>
          </cell>
        </row>
        <row r="1477">
          <cell r="K1477" t="str">
            <v>LAF9334</v>
          </cell>
          <cell r="L1477" t="str">
            <v>HD</v>
          </cell>
          <cell r="M1477" t="str">
            <v>x</v>
          </cell>
          <cell r="N1477" t="e">
            <v>#N/A</v>
          </cell>
          <cell r="O1477" t="str">
            <v>Corrugated Media Air Filter</v>
          </cell>
        </row>
        <row r="1478">
          <cell r="K1478" t="str">
            <v>LAF8091</v>
          </cell>
          <cell r="L1478" t="str">
            <v>HD</v>
          </cell>
          <cell r="M1478" t="str">
            <v>x</v>
          </cell>
          <cell r="N1478" t="e">
            <v>#N/A</v>
          </cell>
          <cell r="O1478" t="str">
            <v>HD Metal-End Air Filter with Attached Lid</v>
          </cell>
        </row>
        <row r="1479">
          <cell r="K1479" t="str">
            <v>LAF5807</v>
          </cell>
          <cell r="L1479" t="str">
            <v>HD</v>
          </cell>
          <cell r="M1479" t="str">
            <v>x</v>
          </cell>
          <cell r="N1479" t="e">
            <v>#N/A</v>
          </cell>
          <cell r="O1479" t="str">
            <v>Disposible Housing Air Filter</v>
          </cell>
        </row>
        <row r="1480">
          <cell r="K1480" t="str">
            <v>LAF1986</v>
          </cell>
          <cell r="L1480" t="str">
            <v>HD</v>
          </cell>
          <cell r="M1480" t="str">
            <v>x</v>
          </cell>
          <cell r="N1480" t="e">
            <v>#N/A</v>
          </cell>
          <cell r="O1480" t="str">
            <v>HD Metal-End Air Filter</v>
          </cell>
        </row>
        <row r="1481">
          <cell r="K1481" t="str">
            <v>LFP2255</v>
          </cell>
          <cell r="L1481" t="str">
            <v>HD</v>
          </cell>
          <cell r="M1481" t="str">
            <v>x</v>
          </cell>
          <cell r="N1481" t="e">
            <v>#N/A</v>
          </cell>
          <cell r="O1481" t="str">
            <v>Spin-on Oil Filter</v>
          </cell>
        </row>
        <row r="1482">
          <cell r="K1482" t="str">
            <v>LFF3507</v>
          </cell>
          <cell r="L1482" t="str">
            <v>HD</v>
          </cell>
          <cell r="M1482" t="str">
            <v>x</v>
          </cell>
          <cell r="N1482" t="e">
            <v>#N/A</v>
          </cell>
          <cell r="O1482" t="str">
            <v>Cartridge Fuel Filter</v>
          </cell>
        </row>
        <row r="1483">
          <cell r="K1483" t="str">
            <v>LFP3871</v>
          </cell>
          <cell r="L1483" t="str">
            <v>HD</v>
          </cell>
          <cell r="M1483" t="str">
            <v>x</v>
          </cell>
          <cell r="N1483" t="e">
            <v>#N/A</v>
          </cell>
          <cell r="O1483" t="str">
            <v>Spin-on Oil Filter</v>
          </cell>
        </row>
        <row r="1484">
          <cell r="K1484" t="str">
            <v>ZINC</v>
          </cell>
          <cell r="L1484" t="str">
            <v>HD</v>
          </cell>
          <cell r="M1484" t="str">
            <v>x</v>
          </cell>
          <cell r="N1484" t="e">
            <v>#N/A</v>
          </cell>
          <cell r="O1484" t="str">
            <v>Inlet Check Valve Assembly/500-B &amp; C, 750-B &amp; C Check valve opening pressure 6psi at .01 GPM flow</v>
          </cell>
        </row>
        <row r="1485">
          <cell r="K1485" t="str">
            <v>LH4230</v>
          </cell>
          <cell r="L1485" t="str">
            <v>HD</v>
          </cell>
          <cell r="M1485" t="str">
            <v>x</v>
          </cell>
          <cell r="N1485" t="e">
            <v>#N/A</v>
          </cell>
          <cell r="O1485" t="str">
            <v>Cartridge Hydraulic Filter</v>
          </cell>
        </row>
        <row r="1486">
          <cell r="K1486" t="str">
            <v>LAF1963</v>
          </cell>
          <cell r="L1486" t="str">
            <v>HD</v>
          </cell>
          <cell r="M1486" t="str">
            <v>x</v>
          </cell>
          <cell r="N1486" t="e">
            <v>#N/A</v>
          </cell>
          <cell r="O1486" t="str">
            <v>Round Inner Air Filter with Flanged Endcap</v>
          </cell>
        </row>
        <row r="1487">
          <cell r="K1487" t="str">
            <v>LAF4132</v>
          </cell>
          <cell r="L1487" t="str">
            <v>HD</v>
          </cell>
          <cell r="M1487" t="str">
            <v>x</v>
          </cell>
          <cell r="N1487" t="e">
            <v>#N/A</v>
          </cell>
          <cell r="O1487" t="str">
            <v>Disposible Housing Air Filter</v>
          </cell>
        </row>
        <row r="1488">
          <cell r="K1488" t="str">
            <v>LFP912</v>
          </cell>
          <cell r="L1488" t="str">
            <v>HD</v>
          </cell>
          <cell r="M1488" t="str">
            <v>x</v>
          </cell>
          <cell r="N1488" t="e">
            <v>#N/A</v>
          </cell>
          <cell r="O1488" t="str">
            <v>Spin-on Oil Filter</v>
          </cell>
        </row>
        <row r="1489">
          <cell r="K1489" t="str">
            <v>LP4736</v>
          </cell>
          <cell r="L1489" t="str">
            <v>HD</v>
          </cell>
          <cell r="M1489" t="str">
            <v>x</v>
          </cell>
          <cell r="N1489" t="e">
            <v>#N/A</v>
          </cell>
          <cell r="O1489" t="str">
            <v>Cartridge Hydraulic Filter</v>
          </cell>
        </row>
        <row r="1490">
          <cell r="K1490" t="str">
            <v>LP2210</v>
          </cell>
          <cell r="L1490" t="str">
            <v>HD</v>
          </cell>
          <cell r="M1490" t="str">
            <v>x</v>
          </cell>
          <cell r="N1490" t="e">
            <v>#N/A</v>
          </cell>
          <cell r="O1490" t="str">
            <v>Cartridge Oil Filter</v>
          </cell>
        </row>
        <row r="1491">
          <cell r="K1491" t="str">
            <v>LH11000</v>
          </cell>
          <cell r="L1491" t="str">
            <v>HD</v>
          </cell>
          <cell r="M1491" t="str">
            <v>x</v>
          </cell>
          <cell r="N1491" t="e">
            <v>#N/A</v>
          </cell>
          <cell r="O1491" t="str">
            <v>Industrial Cartridge Hydraulic Filter</v>
          </cell>
        </row>
        <row r="1492">
          <cell r="K1492" t="str">
            <v>LAF1756</v>
          </cell>
          <cell r="L1492" t="str">
            <v>HD</v>
          </cell>
          <cell r="M1492" t="str">
            <v>x</v>
          </cell>
          <cell r="N1492" t="e">
            <v>#N/A</v>
          </cell>
          <cell r="O1492" t="str">
            <v>HD Round Air Filter with Attached Boot</v>
          </cell>
        </row>
        <row r="1493">
          <cell r="K1493" t="str">
            <v>LAF8477</v>
          </cell>
          <cell r="L1493" t="str">
            <v>HD</v>
          </cell>
          <cell r="M1493" t="str">
            <v>x</v>
          </cell>
          <cell r="N1493" t="e">
            <v>#N/A</v>
          </cell>
          <cell r="O1493" t="str">
            <v>Disposible Housing Air Filter</v>
          </cell>
        </row>
        <row r="1494">
          <cell r="K1494" t="str">
            <v>LAF1727</v>
          </cell>
          <cell r="L1494" t="str">
            <v>HD</v>
          </cell>
          <cell r="M1494" t="str">
            <v>x</v>
          </cell>
          <cell r="N1494" t="e">
            <v>#N/A</v>
          </cell>
          <cell r="O1494" t="str">
            <v>Round Inner Air Filter</v>
          </cell>
        </row>
        <row r="1495">
          <cell r="K1495" t="str">
            <v>L1656-0</v>
          </cell>
          <cell r="L1495" t="str">
            <v>HD</v>
          </cell>
          <cell r="M1495" t="str">
            <v>x</v>
          </cell>
          <cell r="N1495" t="e">
            <v>#N/A</v>
          </cell>
          <cell r="O1495" t="str">
            <v>Sock Type Oil Filter</v>
          </cell>
        </row>
        <row r="1496">
          <cell r="K1496" t="str">
            <v>LAF203</v>
          </cell>
          <cell r="L1496" t="str">
            <v>HD</v>
          </cell>
          <cell r="M1496" t="str">
            <v>x</v>
          </cell>
          <cell r="N1496" t="e">
            <v>#N/A</v>
          </cell>
          <cell r="O1496" t="str">
            <v>HD Metal-End Air Filter</v>
          </cell>
        </row>
        <row r="1497">
          <cell r="K1497" t="str">
            <v>LFF5740</v>
          </cell>
          <cell r="L1497" t="str">
            <v>HD</v>
          </cell>
          <cell r="M1497" t="str">
            <v>x</v>
          </cell>
          <cell r="N1497" t="e">
            <v>#N/A</v>
          </cell>
          <cell r="O1497" t="str">
            <v>Spin-on Fuel Water Separator Filter</v>
          </cell>
        </row>
        <row r="1498">
          <cell r="K1498" t="str">
            <v>LFF1005</v>
          </cell>
          <cell r="L1498" t="str">
            <v>HD</v>
          </cell>
          <cell r="M1498" t="str">
            <v>x</v>
          </cell>
          <cell r="N1498" t="e">
            <v>#N/A</v>
          </cell>
          <cell r="O1498" t="str">
            <v>Spin-on Fuel Filter</v>
          </cell>
        </row>
        <row r="1499">
          <cell r="K1499" t="str">
            <v>LAF8819</v>
          </cell>
          <cell r="L1499" t="str">
            <v>HD</v>
          </cell>
          <cell r="M1499" t="str">
            <v>x</v>
          </cell>
          <cell r="N1499" t="e">
            <v>#N/A</v>
          </cell>
          <cell r="O1499" t="str">
            <v>HD Metal-End Inner Air Filter</v>
          </cell>
        </row>
        <row r="1500">
          <cell r="K1500" t="str">
            <v>LAF1818</v>
          </cell>
          <cell r="L1500" t="str">
            <v>HD</v>
          </cell>
          <cell r="M1500" t="str">
            <v>x</v>
          </cell>
          <cell r="N1500" t="e">
            <v>#N/A</v>
          </cell>
          <cell r="O1500" t="str">
            <v>HD Round Air Filter with Attached Boot</v>
          </cell>
        </row>
        <row r="1501">
          <cell r="K1501" t="str">
            <v>LAF8301</v>
          </cell>
          <cell r="L1501" t="str">
            <v>HD</v>
          </cell>
          <cell r="M1501" t="str">
            <v>x</v>
          </cell>
          <cell r="N1501" t="e">
            <v>#N/A</v>
          </cell>
          <cell r="O1501" t="str">
            <v>Disposible Housing Air Filter</v>
          </cell>
        </row>
        <row r="1502">
          <cell r="K1502" t="str">
            <v>L2986F</v>
          </cell>
          <cell r="L1502" t="str">
            <v>HD</v>
          </cell>
          <cell r="M1502" t="str">
            <v>x</v>
          </cell>
          <cell r="N1502" t="e">
            <v>#N/A</v>
          </cell>
          <cell r="O1502" t="str">
            <v>Cartridge Fuel Filter</v>
          </cell>
        </row>
        <row r="1503">
          <cell r="K1503" t="str">
            <v>L274F-1</v>
          </cell>
          <cell r="L1503" t="str">
            <v>HD</v>
          </cell>
          <cell r="M1503" t="str">
            <v>x</v>
          </cell>
          <cell r="N1503" t="e">
            <v>#N/A</v>
          </cell>
          <cell r="O1503" t="str">
            <v>Sock Type Fuel Filter</v>
          </cell>
        </row>
        <row r="1504">
          <cell r="K1504" t="str">
            <v>LP70V</v>
          </cell>
          <cell r="L1504" t="str">
            <v>HD</v>
          </cell>
          <cell r="M1504" t="str">
            <v>x</v>
          </cell>
          <cell r="N1504" t="e">
            <v>#N/A</v>
          </cell>
          <cell r="O1504" t="str">
            <v>Cartridge Oil Filter</v>
          </cell>
        </row>
        <row r="1505">
          <cell r="K1505" t="str">
            <v>LAF712</v>
          </cell>
          <cell r="L1505" t="str">
            <v>HD</v>
          </cell>
          <cell r="M1505" t="str">
            <v>x</v>
          </cell>
          <cell r="N1505" t="e">
            <v>#N/A</v>
          </cell>
          <cell r="O1505" t="str">
            <v>Finned Vane Air Filter</v>
          </cell>
        </row>
        <row r="1506">
          <cell r="K1506" t="str">
            <v>LAF9909</v>
          </cell>
          <cell r="L1506" t="str">
            <v>HD</v>
          </cell>
          <cell r="M1506" t="str">
            <v>x</v>
          </cell>
          <cell r="N1506" t="e">
            <v>#N/A</v>
          </cell>
          <cell r="O1506" t="str">
            <v>HD Metal-End Air Filter</v>
          </cell>
        </row>
        <row r="1507">
          <cell r="K1507" t="str">
            <v>LP2220</v>
          </cell>
          <cell r="L1507" t="str">
            <v>HD</v>
          </cell>
          <cell r="M1507" t="str">
            <v>x</v>
          </cell>
          <cell r="N1507" t="e">
            <v>#N/A</v>
          </cell>
          <cell r="O1507" t="str">
            <v>Cartridge Oil Filter</v>
          </cell>
        </row>
        <row r="1508">
          <cell r="K1508" t="str">
            <v>LFH5937</v>
          </cell>
          <cell r="L1508" t="str">
            <v>HD</v>
          </cell>
          <cell r="M1508" t="str">
            <v>x</v>
          </cell>
          <cell r="N1508" t="e">
            <v>#N/A</v>
          </cell>
          <cell r="O1508" t="str">
            <v>Spin-on Hydraulic Filter</v>
          </cell>
        </row>
        <row r="1509">
          <cell r="K1509" t="str">
            <v>LFP2285G</v>
          </cell>
          <cell r="L1509" t="str">
            <v>HD</v>
          </cell>
          <cell r="M1509" t="str">
            <v>x</v>
          </cell>
          <cell r="N1509" t="e">
            <v>#N/A</v>
          </cell>
          <cell r="O1509" t="str">
            <v>Extended Life Spin-on Oil Filter</v>
          </cell>
        </row>
        <row r="1510">
          <cell r="K1510" t="str">
            <v>LAF3730</v>
          </cell>
          <cell r="L1510" t="str">
            <v>HD</v>
          </cell>
          <cell r="M1510" t="str">
            <v>x</v>
          </cell>
          <cell r="N1510" t="e">
            <v>#N/A</v>
          </cell>
          <cell r="O1510" t="str">
            <v>Finned Vane Air Filter</v>
          </cell>
        </row>
        <row r="1511">
          <cell r="K1511" t="str">
            <v>LAF3533</v>
          </cell>
          <cell r="L1511" t="str">
            <v>HD</v>
          </cell>
          <cell r="M1511" t="str">
            <v>x</v>
          </cell>
          <cell r="N1511" t="e">
            <v>#N/A</v>
          </cell>
          <cell r="O1511" t="str">
            <v>Radial Seal Inner Air Filter</v>
          </cell>
        </row>
        <row r="1512">
          <cell r="K1512" t="str">
            <v>LAF1616</v>
          </cell>
          <cell r="L1512" t="str">
            <v>HD</v>
          </cell>
          <cell r="M1512" t="str">
            <v>x</v>
          </cell>
          <cell r="N1512" t="e">
            <v>#N/A</v>
          </cell>
          <cell r="O1512" t="str">
            <v>Tube Type Air Filter</v>
          </cell>
        </row>
        <row r="1513">
          <cell r="K1513" t="str">
            <v>LH5931</v>
          </cell>
          <cell r="L1513" t="str">
            <v>HD</v>
          </cell>
          <cell r="M1513" t="str">
            <v>x</v>
          </cell>
          <cell r="N1513" t="e">
            <v>#N/A</v>
          </cell>
          <cell r="O1513" t="str">
            <v>Cartridge Hydraulic Filter</v>
          </cell>
        </row>
        <row r="1514">
          <cell r="K1514" t="str">
            <v>LAF727</v>
          </cell>
          <cell r="L1514" t="str">
            <v>HD</v>
          </cell>
          <cell r="M1514" t="str">
            <v>x</v>
          </cell>
          <cell r="N1514" t="e">
            <v>#N/A</v>
          </cell>
          <cell r="O1514" t="str">
            <v>HD Metal-End Inner Air Filter</v>
          </cell>
        </row>
        <row r="1515">
          <cell r="K1515" t="str">
            <v>LH4596</v>
          </cell>
          <cell r="L1515" t="str">
            <v>HD</v>
          </cell>
          <cell r="M1515" t="str">
            <v>x</v>
          </cell>
          <cell r="N1515" t="e">
            <v>#N/A</v>
          </cell>
          <cell r="O1515" t="str">
            <v>Cartridge Hydraulic Filter</v>
          </cell>
        </row>
        <row r="1516">
          <cell r="K1516" t="str">
            <v>L8512F</v>
          </cell>
          <cell r="L1516" t="str">
            <v>HD</v>
          </cell>
          <cell r="M1516" t="str">
            <v>x</v>
          </cell>
          <cell r="N1516" t="e">
            <v>#N/A</v>
          </cell>
          <cell r="O1516" t="str">
            <v>Snap-Lock Fuel Filter</v>
          </cell>
        </row>
        <row r="1517">
          <cell r="K1517" t="str">
            <v>LH8781</v>
          </cell>
          <cell r="L1517" t="str">
            <v>HD</v>
          </cell>
          <cell r="M1517" t="str">
            <v>x</v>
          </cell>
          <cell r="N1517" t="e">
            <v>#N/A</v>
          </cell>
          <cell r="O1517" t="str">
            <v>Cartridge Hydraulic Filter</v>
          </cell>
        </row>
        <row r="1518">
          <cell r="K1518" t="str">
            <v>L1149F</v>
          </cell>
          <cell r="L1518" t="str">
            <v>HD</v>
          </cell>
          <cell r="M1518" t="str">
            <v>x</v>
          </cell>
          <cell r="N1518" t="e">
            <v>#N/A</v>
          </cell>
          <cell r="O1518" t="str">
            <v>Cartridge Fuel Filter</v>
          </cell>
        </row>
        <row r="1519">
          <cell r="K1519" t="str">
            <v>LFH1700</v>
          </cell>
          <cell r="L1519" t="str">
            <v>HD</v>
          </cell>
          <cell r="M1519" t="str">
            <v>x</v>
          </cell>
          <cell r="N1519" t="e">
            <v>#N/A</v>
          </cell>
          <cell r="O1519" t="str">
            <v>Spin-on Hydraulic Filter</v>
          </cell>
        </row>
        <row r="1520">
          <cell r="K1520" t="str">
            <v>LFF8050</v>
          </cell>
          <cell r="L1520" t="str">
            <v>HD</v>
          </cell>
          <cell r="M1520" t="str">
            <v>x</v>
          </cell>
          <cell r="N1520" t="e">
            <v>#N/A</v>
          </cell>
          <cell r="O1520" t="str">
            <v>Spin-on Fuel Water Separator Filter</v>
          </cell>
        </row>
        <row r="1521">
          <cell r="K1521" t="str">
            <v>LFH8173</v>
          </cell>
          <cell r="L1521" t="str">
            <v>HD</v>
          </cell>
          <cell r="M1521" t="str">
            <v>x</v>
          </cell>
          <cell r="N1521" t="e">
            <v>#N/A</v>
          </cell>
          <cell r="O1521" t="str">
            <v>Spin-on Hydraulic Filter</v>
          </cell>
        </row>
        <row r="1522">
          <cell r="K1522" t="str">
            <v>LFH4212</v>
          </cell>
          <cell r="L1522" t="str">
            <v>HD</v>
          </cell>
          <cell r="M1522" t="str">
            <v>x</v>
          </cell>
          <cell r="N1522" t="e">
            <v>#N/A</v>
          </cell>
          <cell r="O1522" t="str">
            <v>Spin-on Hydraulic Filter</v>
          </cell>
        </row>
        <row r="1523">
          <cell r="K1523" t="str">
            <v>LAF240</v>
          </cell>
          <cell r="L1523" t="str">
            <v>HD</v>
          </cell>
          <cell r="M1523" t="str">
            <v>x</v>
          </cell>
          <cell r="N1523" t="e">
            <v>#N/A</v>
          </cell>
          <cell r="O1523" t="str">
            <v>HD Metal-End Air Filter</v>
          </cell>
        </row>
        <row r="1524">
          <cell r="K1524" t="str">
            <v>LAF3701</v>
          </cell>
          <cell r="L1524" t="str">
            <v>HD</v>
          </cell>
          <cell r="M1524" t="str">
            <v>x</v>
          </cell>
          <cell r="N1524" t="e">
            <v>#N/A</v>
          </cell>
          <cell r="O1524" t="str">
            <v>Disposible Housing Air Filter</v>
          </cell>
        </row>
        <row r="1525">
          <cell r="K1525" t="str">
            <v>CAF24010XL</v>
          </cell>
          <cell r="L1525" t="str">
            <v>HD</v>
          </cell>
          <cell r="M1525" t="str">
            <v>x</v>
          </cell>
          <cell r="N1525" t="e">
            <v>#N/A</v>
          </cell>
          <cell r="O1525" t="str">
            <v>Cabin Air Filter (Carbon) Extreme Clean</v>
          </cell>
        </row>
        <row r="1526">
          <cell r="K1526" t="str">
            <v>LAF8783</v>
          </cell>
          <cell r="L1526" t="str">
            <v>HD</v>
          </cell>
          <cell r="M1526" t="str">
            <v>x</v>
          </cell>
          <cell r="N1526" t="e">
            <v>#N/A</v>
          </cell>
          <cell r="O1526" t="str">
            <v>Cabin Air Filter</v>
          </cell>
        </row>
        <row r="1527">
          <cell r="K1527" t="str">
            <v>LFH8536</v>
          </cell>
          <cell r="L1527" t="str">
            <v>HD</v>
          </cell>
          <cell r="M1527" t="str">
            <v>x</v>
          </cell>
          <cell r="N1527" t="e">
            <v>#N/A</v>
          </cell>
          <cell r="O1527" t="str">
            <v>Spin-on Hydraulic Filter</v>
          </cell>
        </row>
        <row r="1528">
          <cell r="K1528" t="str">
            <v>LAF8660</v>
          </cell>
          <cell r="L1528" t="str">
            <v>HD</v>
          </cell>
          <cell r="M1528" t="str">
            <v>x</v>
          </cell>
          <cell r="N1528" t="e">
            <v>#N/A</v>
          </cell>
          <cell r="O1528" t="str">
            <v>HD Metal-End Air Filter</v>
          </cell>
        </row>
        <row r="1529">
          <cell r="K1529" t="str">
            <v>LFH4957</v>
          </cell>
          <cell r="L1529" t="str">
            <v>HD</v>
          </cell>
          <cell r="M1529" t="str">
            <v>x</v>
          </cell>
          <cell r="N1529" t="e">
            <v>#N/A</v>
          </cell>
          <cell r="O1529" t="str">
            <v>Spin-on Hydraulic Filter</v>
          </cell>
        </row>
        <row r="1530">
          <cell r="K1530" t="str">
            <v>LAF4306</v>
          </cell>
          <cell r="L1530" t="str">
            <v>HD</v>
          </cell>
          <cell r="M1530" t="str">
            <v>x</v>
          </cell>
          <cell r="N1530" t="e">
            <v>#N/A</v>
          </cell>
          <cell r="O1530" t="str">
            <v>HD Metal-End Air Filter</v>
          </cell>
        </row>
        <row r="1531">
          <cell r="K1531" t="str">
            <v>LAF5852</v>
          </cell>
          <cell r="L1531" t="str">
            <v>HD</v>
          </cell>
          <cell r="M1531" t="str">
            <v>x</v>
          </cell>
          <cell r="N1531" t="e">
            <v>#N/A</v>
          </cell>
          <cell r="O1531" t="str">
            <v>Finned Vane Air Filter</v>
          </cell>
        </row>
        <row r="1532">
          <cell r="K1532" t="str">
            <v>LFF9772</v>
          </cell>
          <cell r="L1532" t="str">
            <v>HD</v>
          </cell>
          <cell r="M1532" t="str">
            <v>x</v>
          </cell>
          <cell r="N1532" t="e">
            <v>#N/A</v>
          </cell>
          <cell r="O1532" t="str">
            <v>Spin-on Fuel Water Separator Filter</v>
          </cell>
        </row>
        <row r="1533">
          <cell r="K1533" t="str">
            <v>LAF8804</v>
          </cell>
          <cell r="L1533" t="str">
            <v>HD</v>
          </cell>
          <cell r="M1533" t="str">
            <v>x</v>
          </cell>
          <cell r="N1533" t="e">
            <v>#N/A</v>
          </cell>
          <cell r="O1533" t="str">
            <v>HD Round Finned Air Filter with Attached Lid</v>
          </cell>
        </row>
        <row r="1534">
          <cell r="K1534">
            <v>200</v>
          </cell>
          <cell r="L1534" t="str">
            <v>HD</v>
          </cell>
          <cell r="M1534" t="str">
            <v>x</v>
          </cell>
          <cell r="N1534" t="e">
            <v>#N/A</v>
          </cell>
          <cell r="O1534" t="str">
            <v>Microcell-Hydropack/200-S Filter</v>
          </cell>
        </row>
        <row r="1535">
          <cell r="K1535" t="str">
            <v>LAF8118</v>
          </cell>
          <cell r="L1535" t="str">
            <v>HD</v>
          </cell>
          <cell r="M1535" t="str">
            <v>x</v>
          </cell>
          <cell r="N1535" t="e">
            <v>#N/A</v>
          </cell>
          <cell r="O1535" t="str">
            <v>Finned Vane Air Filter</v>
          </cell>
        </row>
        <row r="1536">
          <cell r="K1536" t="str">
            <v>LAF4620</v>
          </cell>
          <cell r="L1536" t="str">
            <v>HD</v>
          </cell>
          <cell r="M1536" t="str">
            <v>x</v>
          </cell>
          <cell r="N1536" t="e">
            <v>#N/A</v>
          </cell>
          <cell r="O1536" t="str">
            <v>Radial Seal Outer Air Filter</v>
          </cell>
        </row>
        <row r="1537">
          <cell r="K1537" t="str">
            <v>LH7528</v>
          </cell>
          <cell r="L1537" t="str">
            <v>HD</v>
          </cell>
          <cell r="M1537" t="str">
            <v>x</v>
          </cell>
          <cell r="N1537" t="e">
            <v>#N/A</v>
          </cell>
          <cell r="O1537" t="str">
            <v>Cartridge Power Steering (Hydraulic) Filter</v>
          </cell>
        </row>
        <row r="1538">
          <cell r="K1538" t="str">
            <v>LAF8043</v>
          </cell>
          <cell r="L1538" t="str">
            <v>HD</v>
          </cell>
          <cell r="M1538" t="str">
            <v>x</v>
          </cell>
          <cell r="N1538" t="e">
            <v>#N/A</v>
          </cell>
          <cell r="O1538" t="str">
            <v>Cone Shaped Conical Air Filter</v>
          </cell>
        </row>
        <row r="1539">
          <cell r="K1539" t="str">
            <v>LH9407</v>
          </cell>
          <cell r="L1539" t="str">
            <v>HD</v>
          </cell>
          <cell r="M1539" t="str">
            <v>x</v>
          </cell>
          <cell r="N1539" t="e">
            <v>#N/A</v>
          </cell>
          <cell r="O1539" t="str">
            <v>Cartridge Hydraulic Filter</v>
          </cell>
        </row>
        <row r="1540">
          <cell r="K1540" t="str">
            <v>LAF702</v>
          </cell>
          <cell r="L1540" t="str">
            <v>HD</v>
          </cell>
          <cell r="M1540" t="str">
            <v>x</v>
          </cell>
          <cell r="N1540" t="e">
            <v>#N/A</v>
          </cell>
          <cell r="O1540" t="str">
            <v>HD Metal-End Air Filter</v>
          </cell>
        </row>
        <row r="1541">
          <cell r="K1541" t="str">
            <v>LAF5452</v>
          </cell>
          <cell r="L1541" t="str">
            <v>HD</v>
          </cell>
          <cell r="M1541" t="str">
            <v>x</v>
          </cell>
          <cell r="N1541" t="str">
            <v>LAF5452</v>
          </cell>
          <cell r="O1541" t="str">
            <v>HD Metal-End Air Filter</v>
          </cell>
        </row>
        <row r="1542">
          <cell r="K1542" t="str">
            <v>LAF8821</v>
          </cell>
          <cell r="L1542" t="str">
            <v>HD</v>
          </cell>
          <cell r="M1542" t="str">
            <v>x</v>
          </cell>
          <cell r="N1542" t="e">
            <v>#N/A</v>
          </cell>
          <cell r="O1542" t="str">
            <v>HD Metal-End Air Filter</v>
          </cell>
        </row>
        <row r="1543">
          <cell r="K1543" t="str">
            <v>LAF5228</v>
          </cell>
          <cell r="L1543" t="str">
            <v>HD</v>
          </cell>
          <cell r="M1543" t="str">
            <v>x</v>
          </cell>
          <cell r="N1543" t="e">
            <v>#N/A</v>
          </cell>
          <cell r="O1543" t="str">
            <v>HD Round Air Filter with Attached Boot</v>
          </cell>
        </row>
        <row r="1544">
          <cell r="K1544" t="str">
            <v>LH4465</v>
          </cell>
          <cell r="L1544" t="str">
            <v>HD</v>
          </cell>
          <cell r="M1544" t="str">
            <v>x</v>
          </cell>
          <cell r="N1544" t="e">
            <v>#N/A</v>
          </cell>
          <cell r="O1544" t="str">
            <v>Cartridge Hydraulic Filter</v>
          </cell>
        </row>
        <row r="1545">
          <cell r="K1545" t="str">
            <v>LFP2301</v>
          </cell>
          <cell r="L1545" t="str">
            <v>HD</v>
          </cell>
          <cell r="M1545" t="str">
            <v>x</v>
          </cell>
          <cell r="N1545" t="e">
            <v>#N/A</v>
          </cell>
          <cell r="O1545" t="str">
            <v>Spin-on Oil Filter</v>
          </cell>
        </row>
        <row r="1546">
          <cell r="K1546" t="str">
            <v>LFH8192</v>
          </cell>
          <cell r="L1546" t="str">
            <v>HD</v>
          </cell>
          <cell r="M1546" t="str">
            <v>x</v>
          </cell>
          <cell r="N1546" t="e">
            <v>#N/A</v>
          </cell>
          <cell r="O1546" t="str">
            <v>Spin-on Hydraulic Filter</v>
          </cell>
        </row>
        <row r="1547">
          <cell r="K1547" t="str">
            <v>LAF8211</v>
          </cell>
          <cell r="L1547" t="str">
            <v>HD</v>
          </cell>
          <cell r="M1547" t="str">
            <v>x</v>
          </cell>
          <cell r="N1547" t="e">
            <v>#N/A</v>
          </cell>
          <cell r="O1547" t="str">
            <v>HD Metal-End Air Filter</v>
          </cell>
        </row>
        <row r="1548">
          <cell r="K1548" t="str">
            <v>LAF1771</v>
          </cell>
          <cell r="L1548" t="str">
            <v>HD</v>
          </cell>
          <cell r="M1548" t="str">
            <v>x</v>
          </cell>
          <cell r="N1548" t="e">
            <v>#N/A</v>
          </cell>
          <cell r="O1548" t="str">
            <v>Panel Air Filter Metal Framed</v>
          </cell>
        </row>
        <row r="1549">
          <cell r="K1549" t="str">
            <v>LAF3707</v>
          </cell>
          <cell r="L1549" t="str">
            <v>HD</v>
          </cell>
          <cell r="M1549" t="str">
            <v>x</v>
          </cell>
          <cell r="N1549" t="e">
            <v>#N/A</v>
          </cell>
          <cell r="O1549" t="str">
            <v>HD Metal-End Air Filter-Inner</v>
          </cell>
        </row>
        <row r="1550">
          <cell r="K1550" t="str">
            <v>LH8498</v>
          </cell>
          <cell r="L1550" t="str">
            <v>HD</v>
          </cell>
          <cell r="M1550" t="str">
            <v>x</v>
          </cell>
          <cell r="N1550" t="e">
            <v>#N/A</v>
          </cell>
          <cell r="O1550" t="str">
            <v>Cartridge Hydraulic Filter</v>
          </cell>
        </row>
        <row r="1551">
          <cell r="K1551" t="str">
            <v>LAF2523</v>
          </cell>
          <cell r="L1551" t="str">
            <v>HD</v>
          </cell>
          <cell r="M1551" t="str">
            <v>x</v>
          </cell>
          <cell r="N1551" t="e">
            <v>#N/A</v>
          </cell>
          <cell r="O1551" t="str">
            <v>HD Metal-End Air Filter</v>
          </cell>
        </row>
        <row r="1552">
          <cell r="K1552" t="str">
            <v>LFP2286G</v>
          </cell>
          <cell r="L1552" t="str">
            <v>HD</v>
          </cell>
          <cell r="M1552" t="str">
            <v>x</v>
          </cell>
          <cell r="N1552" t="e">
            <v>#N/A</v>
          </cell>
          <cell r="O1552" t="str">
            <v>Extended Life Spin-on Oil Filter</v>
          </cell>
        </row>
        <row r="1553">
          <cell r="K1553" t="str">
            <v>L23F</v>
          </cell>
          <cell r="L1553" t="str">
            <v>HD</v>
          </cell>
          <cell r="M1553" t="str">
            <v>x</v>
          </cell>
          <cell r="N1553" t="e">
            <v>#N/A</v>
          </cell>
          <cell r="O1553" t="str">
            <v>Cartridge Fuel Filter</v>
          </cell>
        </row>
        <row r="1554">
          <cell r="K1554" t="str">
            <v>LAF8421</v>
          </cell>
          <cell r="L1554" t="str">
            <v>HD</v>
          </cell>
          <cell r="M1554" t="str">
            <v>x</v>
          </cell>
          <cell r="N1554" t="e">
            <v>#N/A</v>
          </cell>
          <cell r="O1554" t="str">
            <v>Oval Air Filter</v>
          </cell>
        </row>
        <row r="1555">
          <cell r="K1555" t="str">
            <v>LH4928</v>
          </cell>
          <cell r="L1555" t="str">
            <v>HD</v>
          </cell>
          <cell r="M1555" t="str">
            <v>x</v>
          </cell>
          <cell r="N1555" t="e">
            <v>#N/A</v>
          </cell>
          <cell r="O1555" t="str">
            <v>Cartridge Hydraulic Filter</v>
          </cell>
        </row>
        <row r="1556">
          <cell r="K1556" t="str">
            <v>LH95269V</v>
          </cell>
          <cell r="L1556" t="str">
            <v>HD</v>
          </cell>
          <cell r="M1556" t="str">
            <v>x</v>
          </cell>
          <cell r="N1556" t="e">
            <v>#N/A</v>
          </cell>
          <cell r="O1556" t="str">
            <v>Cartridge Hydraulic Filter</v>
          </cell>
        </row>
        <row r="1557">
          <cell r="K1557" t="str">
            <v>LFF4036A</v>
          </cell>
          <cell r="L1557" t="str">
            <v>HD</v>
          </cell>
          <cell r="M1557" t="str">
            <v>x</v>
          </cell>
          <cell r="N1557" t="e">
            <v>#N/A</v>
          </cell>
          <cell r="O1557" t="str">
            <v>Spin-on Fuel Filter</v>
          </cell>
        </row>
        <row r="1558">
          <cell r="K1558">
            <v>200</v>
          </cell>
          <cell r="L1558" t="str">
            <v>HD</v>
          </cell>
          <cell r="M1558" t="str">
            <v>x</v>
          </cell>
          <cell r="N1558" t="e">
            <v>#N/A</v>
          </cell>
          <cell r="O1558" t="str">
            <v>Refining Pak, LF model 200-filtering non-detergent, straight mineral oil, hydraulic fluids, fuel oils, etc.</v>
          </cell>
        </row>
        <row r="1559">
          <cell r="K1559">
            <v>500</v>
          </cell>
          <cell r="L1559" t="str">
            <v>HD</v>
          </cell>
          <cell r="M1559" t="str">
            <v>x</v>
          </cell>
          <cell r="N1559" t="e">
            <v>#N/A</v>
          </cell>
          <cell r="O1559" t="str">
            <v>Cover w/1 Plug Hole, 500-C, 750-2C</v>
          </cell>
        </row>
        <row r="1560">
          <cell r="K1560" t="str">
            <v>LFF3502</v>
          </cell>
          <cell r="L1560" t="str">
            <v>HD</v>
          </cell>
          <cell r="M1560" t="str">
            <v>x</v>
          </cell>
          <cell r="N1560" t="e">
            <v>#N/A</v>
          </cell>
          <cell r="O1560" t="str">
            <v>Spin-on Fuel Filter</v>
          </cell>
        </row>
        <row r="1561">
          <cell r="K1561" t="str">
            <v>LAF8551</v>
          </cell>
          <cell r="L1561" t="str">
            <v>HD</v>
          </cell>
          <cell r="M1561" t="str">
            <v>x</v>
          </cell>
          <cell r="N1561" t="e">
            <v>#N/A</v>
          </cell>
          <cell r="O1561" t="str">
            <v>HD Round Air Filter with Attached Boot</v>
          </cell>
        </row>
        <row r="1562">
          <cell r="K1562" t="str">
            <v>LAF8973</v>
          </cell>
          <cell r="L1562" t="str">
            <v>HD</v>
          </cell>
          <cell r="M1562" t="str">
            <v>x</v>
          </cell>
          <cell r="N1562" t="e">
            <v>#N/A</v>
          </cell>
          <cell r="O1562" t="str">
            <v>Heavy Duty Air Filter With Attached Lid</v>
          </cell>
        </row>
        <row r="1563">
          <cell r="K1563" t="str">
            <v>LH4594</v>
          </cell>
          <cell r="L1563" t="str">
            <v>HD</v>
          </cell>
          <cell r="M1563" t="str">
            <v>x</v>
          </cell>
          <cell r="N1563" t="e">
            <v>#N/A</v>
          </cell>
          <cell r="O1563" t="str">
            <v>Cartridge Hydraulic Filter</v>
          </cell>
        </row>
        <row r="1564">
          <cell r="K1564" t="str">
            <v>LFF8933</v>
          </cell>
          <cell r="L1564" t="str">
            <v>HD</v>
          </cell>
          <cell r="M1564" t="str">
            <v>x</v>
          </cell>
          <cell r="N1564" t="e">
            <v>#N/A</v>
          </cell>
          <cell r="O1564" t="str">
            <v>Spin-on Fuel Filter</v>
          </cell>
        </row>
        <row r="1565">
          <cell r="K1565" t="str">
            <v>L3575F</v>
          </cell>
          <cell r="L1565" t="str">
            <v>HD</v>
          </cell>
          <cell r="M1565" t="str">
            <v>x</v>
          </cell>
          <cell r="N1565" t="e">
            <v>#N/A</v>
          </cell>
          <cell r="O1565" t="str">
            <v>Cartridge Fuel Filter</v>
          </cell>
        </row>
        <row r="1566">
          <cell r="K1566" t="str">
            <v>LAF8157</v>
          </cell>
          <cell r="L1566" t="str">
            <v>HD</v>
          </cell>
          <cell r="M1566" t="str">
            <v>x</v>
          </cell>
          <cell r="N1566" t="e">
            <v>#N/A</v>
          </cell>
          <cell r="O1566" t="str">
            <v>Finned Vane Air Filter</v>
          </cell>
        </row>
        <row r="1567">
          <cell r="K1567" t="str">
            <v>LH4256</v>
          </cell>
          <cell r="L1567" t="str">
            <v>HD</v>
          </cell>
          <cell r="M1567" t="str">
            <v>x</v>
          </cell>
          <cell r="N1567" t="e">
            <v>#N/A</v>
          </cell>
          <cell r="O1567" t="str">
            <v>Cartridge Hydraulic Filter</v>
          </cell>
        </row>
        <row r="1568">
          <cell r="K1568" t="str">
            <v>LH9309V</v>
          </cell>
          <cell r="L1568" t="str">
            <v>HD</v>
          </cell>
          <cell r="M1568" t="str">
            <v>x</v>
          </cell>
          <cell r="N1568" t="e">
            <v>#N/A</v>
          </cell>
          <cell r="O1568" t="str">
            <v>Cartridge Hydraulic Filter</v>
          </cell>
        </row>
        <row r="1569">
          <cell r="K1569" t="str">
            <v>LK377M</v>
          </cell>
          <cell r="L1569" t="str">
            <v>HD</v>
          </cell>
          <cell r="O1569" t="str">
            <v>Maintenance Kit</v>
          </cell>
        </row>
        <row r="1570">
          <cell r="K1570" t="str">
            <v>L3420F</v>
          </cell>
          <cell r="L1570" t="str">
            <v>HD</v>
          </cell>
          <cell r="M1570" t="str">
            <v>x</v>
          </cell>
          <cell r="N1570" t="e">
            <v>#N/A</v>
          </cell>
          <cell r="O1570" t="str">
            <v>Cartridge Coalescer Filter</v>
          </cell>
        </row>
        <row r="1571">
          <cell r="K1571" t="str">
            <v>LFH3762</v>
          </cell>
          <cell r="L1571" t="str">
            <v>HD</v>
          </cell>
          <cell r="M1571" t="str">
            <v>x</v>
          </cell>
          <cell r="N1571" t="e">
            <v>#N/A</v>
          </cell>
          <cell r="O1571" t="str">
            <v>Spin-on Hydraulic Filter</v>
          </cell>
        </row>
        <row r="1572">
          <cell r="K1572" t="str">
            <v>LFF3538</v>
          </cell>
          <cell r="L1572" t="str">
            <v>HD</v>
          </cell>
          <cell r="M1572" t="str">
            <v>x</v>
          </cell>
          <cell r="N1572" t="e">
            <v>#N/A</v>
          </cell>
          <cell r="O1572" t="str">
            <v>Spin-on Fuel Filter</v>
          </cell>
        </row>
        <row r="1573">
          <cell r="K1573" t="str">
            <v>LAF1836</v>
          </cell>
          <cell r="L1573" t="str">
            <v>HD</v>
          </cell>
          <cell r="M1573" t="str">
            <v>x</v>
          </cell>
          <cell r="N1573" t="e">
            <v>#N/A</v>
          </cell>
          <cell r="O1573" t="str">
            <v>HD Metal-End Air Filter</v>
          </cell>
        </row>
        <row r="1574">
          <cell r="K1574" t="str">
            <v>LP2525</v>
          </cell>
          <cell r="L1574" t="str">
            <v>HD</v>
          </cell>
          <cell r="M1574" t="str">
            <v>x</v>
          </cell>
          <cell r="N1574" t="e">
            <v>#N/A</v>
          </cell>
          <cell r="O1574" t="str">
            <v>Cartridge Oil Filter</v>
          </cell>
        </row>
        <row r="1575">
          <cell r="K1575" t="str">
            <v>LH95345V</v>
          </cell>
          <cell r="L1575" t="str">
            <v>HD</v>
          </cell>
          <cell r="M1575" t="str">
            <v>x</v>
          </cell>
          <cell r="N1575" t="e">
            <v>#N/A</v>
          </cell>
          <cell r="O1575" t="str">
            <v>Cartridge Hydraulic Filter</v>
          </cell>
        </row>
        <row r="1576">
          <cell r="K1576" t="str">
            <v>L5947F</v>
          </cell>
          <cell r="L1576" t="str">
            <v>HD</v>
          </cell>
          <cell r="M1576" t="str">
            <v>x</v>
          </cell>
          <cell r="N1576" t="e">
            <v>#N/A</v>
          </cell>
          <cell r="O1576" t="str">
            <v>Cartridge Fuel Filter</v>
          </cell>
        </row>
        <row r="1577">
          <cell r="K1577" t="str">
            <v>LAF8482</v>
          </cell>
          <cell r="L1577" t="str">
            <v>HD</v>
          </cell>
          <cell r="M1577" t="str">
            <v>x</v>
          </cell>
          <cell r="N1577" t="e">
            <v>#N/A</v>
          </cell>
          <cell r="O1577" t="str">
            <v>Round Inner Air Filter with Flanged Endcap</v>
          </cell>
        </row>
        <row r="1578">
          <cell r="K1578" t="str">
            <v>LAF6860</v>
          </cell>
          <cell r="L1578" t="str">
            <v>HD</v>
          </cell>
          <cell r="M1578" t="str">
            <v>x</v>
          </cell>
          <cell r="N1578" t="e">
            <v>#N/A</v>
          </cell>
          <cell r="O1578" t="str">
            <v>HD Metal-End Air Filter</v>
          </cell>
        </row>
        <row r="1579">
          <cell r="K1579" t="str">
            <v>LAF8586</v>
          </cell>
          <cell r="L1579" t="str">
            <v>HD</v>
          </cell>
          <cell r="M1579" t="str">
            <v>x</v>
          </cell>
          <cell r="N1579" t="e">
            <v>#N/A</v>
          </cell>
          <cell r="O1579" t="str">
            <v>HD Metal-End Air Filter with Attached Lid</v>
          </cell>
        </row>
        <row r="1580">
          <cell r="K1580" t="str">
            <v>LAF1894</v>
          </cell>
          <cell r="L1580" t="str">
            <v>HD</v>
          </cell>
          <cell r="M1580" t="str">
            <v>x</v>
          </cell>
          <cell r="N1580" t="e">
            <v>#N/A</v>
          </cell>
          <cell r="O1580" t="str">
            <v>Nano Tech HD Metal-End Air Filter Outer</v>
          </cell>
        </row>
        <row r="1581">
          <cell r="K1581" t="str">
            <v>LAF8662</v>
          </cell>
          <cell r="L1581" t="str">
            <v>HD</v>
          </cell>
          <cell r="M1581" t="str">
            <v>x</v>
          </cell>
          <cell r="N1581" t="e">
            <v>#N/A</v>
          </cell>
          <cell r="O1581" t="str">
            <v>Finned Vane Air Filter</v>
          </cell>
        </row>
        <row r="1582">
          <cell r="K1582" t="str">
            <v>LAF5837</v>
          </cell>
          <cell r="L1582" t="str">
            <v>HD</v>
          </cell>
          <cell r="M1582" t="str">
            <v>x</v>
          </cell>
          <cell r="N1582" t="e">
            <v>#N/A</v>
          </cell>
          <cell r="O1582" t="str">
            <v>Radial Seal Air Filter, Primary</v>
          </cell>
        </row>
        <row r="1583">
          <cell r="K1583" t="str">
            <v>LH4247</v>
          </cell>
          <cell r="L1583" t="str">
            <v>HD</v>
          </cell>
          <cell r="M1583" t="str">
            <v>x</v>
          </cell>
          <cell r="N1583" t="e">
            <v>#N/A</v>
          </cell>
          <cell r="O1583" t="str">
            <v>Cartridge Hydraulic Filter</v>
          </cell>
        </row>
        <row r="1584">
          <cell r="K1584" t="str">
            <v>LAF1933</v>
          </cell>
          <cell r="L1584" t="str">
            <v>HD</v>
          </cell>
          <cell r="M1584" t="str">
            <v>x</v>
          </cell>
          <cell r="N1584" t="e">
            <v>#N/A</v>
          </cell>
          <cell r="O1584" t="str">
            <v>HD Metal-End Inner Air Filter</v>
          </cell>
        </row>
        <row r="1585">
          <cell r="K1585" t="str">
            <v>LAF1812</v>
          </cell>
          <cell r="L1585" t="str">
            <v>HD</v>
          </cell>
          <cell r="M1585" t="str">
            <v>x</v>
          </cell>
          <cell r="N1585" t="e">
            <v>#N/A</v>
          </cell>
          <cell r="O1585" t="str">
            <v>HD Round Air Filter with Attached Boot</v>
          </cell>
        </row>
        <row r="1586">
          <cell r="K1586" t="str">
            <v>LMB6926</v>
          </cell>
          <cell r="L1586" t="str">
            <v>HD</v>
          </cell>
          <cell r="M1586" t="str">
            <v>x</v>
          </cell>
          <cell r="N1586" t="e">
            <v>#N/A</v>
          </cell>
          <cell r="O1586" t="str">
            <v xml:space="preserve">Spin-on Fuel Conversion Kit for Perkins and Caterpillar engines. Use with LFF6925 fuel filter. </v>
          </cell>
        </row>
        <row r="1587">
          <cell r="K1587" t="str">
            <v>L3973F</v>
          </cell>
          <cell r="L1587" t="str">
            <v>HD</v>
          </cell>
          <cell r="M1587" t="str">
            <v>x</v>
          </cell>
          <cell r="N1587" t="e">
            <v>#N/A</v>
          </cell>
          <cell r="O1587" t="str">
            <v>In-Line Fuel Filter</v>
          </cell>
        </row>
        <row r="1588">
          <cell r="K1588" t="str">
            <v>LAF1859</v>
          </cell>
          <cell r="L1588" t="str">
            <v>HD</v>
          </cell>
          <cell r="M1588" t="str">
            <v>x</v>
          </cell>
          <cell r="N1588" t="e">
            <v>#N/A</v>
          </cell>
          <cell r="O1588" t="str">
            <v>HD Round Finned Air Filter with Attached Lid</v>
          </cell>
        </row>
        <row r="1589">
          <cell r="K1589" t="str">
            <v>LFF8714</v>
          </cell>
          <cell r="L1589" t="str">
            <v>HD</v>
          </cell>
          <cell r="M1589" t="str">
            <v>x</v>
          </cell>
          <cell r="N1589" t="e">
            <v>#N/A</v>
          </cell>
          <cell r="O1589" t="str">
            <v>Spin-on Fuel Filter</v>
          </cell>
        </row>
        <row r="1590">
          <cell r="K1590" t="str">
            <v>LH4264</v>
          </cell>
          <cell r="L1590" t="str">
            <v>HD</v>
          </cell>
          <cell r="M1590" t="str">
            <v>x</v>
          </cell>
          <cell r="N1590" t="e">
            <v>#N/A</v>
          </cell>
          <cell r="O1590" t="str">
            <v>Cartridge Hydraulic Filter</v>
          </cell>
        </row>
        <row r="1591">
          <cell r="K1591" t="str">
            <v>LAF8082</v>
          </cell>
          <cell r="L1591" t="str">
            <v>HD</v>
          </cell>
          <cell r="M1591" t="str">
            <v>x</v>
          </cell>
          <cell r="N1591" t="e">
            <v>#N/A</v>
          </cell>
          <cell r="O1591" t="str">
            <v>HD Metal-End Air Filter-Inner</v>
          </cell>
        </row>
        <row r="1592">
          <cell r="K1592" t="str">
            <v>LAF1887</v>
          </cell>
          <cell r="L1592" t="str">
            <v>HD</v>
          </cell>
          <cell r="M1592" t="str">
            <v>x</v>
          </cell>
          <cell r="N1592" t="e">
            <v>#N/A</v>
          </cell>
          <cell r="O1592" t="str">
            <v>HD Round Air Filter with Attached Boot</v>
          </cell>
        </row>
        <row r="1593">
          <cell r="K1593" t="str">
            <v>LH11041V</v>
          </cell>
          <cell r="L1593" t="str">
            <v>HD</v>
          </cell>
          <cell r="M1593" t="str">
            <v>x</v>
          </cell>
          <cell r="N1593" t="e">
            <v>#N/A</v>
          </cell>
          <cell r="O1593" t="str">
            <v>Industrial Cartridge Hydraulic Filter</v>
          </cell>
        </row>
        <row r="1594">
          <cell r="K1594" t="str">
            <v>LP2318</v>
          </cell>
          <cell r="L1594" t="str">
            <v>HD</v>
          </cell>
          <cell r="M1594" t="str">
            <v>x</v>
          </cell>
          <cell r="N1594" t="e">
            <v>#N/A</v>
          </cell>
          <cell r="O1594" t="str">
            <v>Cartridge Hydraulic Filter</v>
          </cell>
        </row>
        <row r="1595">
          <cell r="K1595" t="str">
            <v>L632F</v>
          </cell>
          <cell r="L1595" t="str">
            <v>HD</v>
          </cell>
          <cell r="M1595" t="str">
            <v>x</v>
          </cell>
          <cell r="N1595" t="e">
            <v>#N/A</v>
          </cell>
          <cell r="O1595" t="str">
            <v>Cartridge Fuel Filter</v>
          </cell>
        </row>
        <row r="1596">
          <cell r="K1596" t="str">
            <v>SPRING</v>
          </cell>
          <cell r="L1596" t="str">
            <v>HD</v>
          </cell>
          <cell r="M1596" t="str">
            <v>x</v>
          </cell>
          <cell r="N1596" t="e">
            <v>#N/A</v>
          </cell>
          <cell r="O1596" t="str">
            <v>Spring/970-C</v>
          </cell>
        </row>
        <row r="1597">
          <cell r="K1597" t="str">
            <v>DRAIN</v>
          </cell>
          <cell r="L1597" t="str">
            <v>HD</v>
          </cell>
          <cell r="M1597" t="str">
            <v>x</v>
          </cell>
          <cell r="N1597" t="e">
            <v>#N/A</v>
          </cell>
          <cell r="O1597" t="str">
            <v>Drain Cock, Standard w/o Hose Nipple/500-B, C, 750-B, C</v>
          </cell>
        </row>
        <row r="1598">
          <cell r="K1598" t="str">
            <v>L3891F</v>
          </cell>
          <cell r="L1598" t="str">
            <v>HD</v>
          </cell>
          <cell r="M1598" t="str">
            <v>x</v>
          </cell>
          <cell r="N1598" t="e">
            <v>#N/A</v>
          </cell>
          <cell r="O1598" t="str">
            <v>Snap-lock Fuel/Water Separator Filter</v>
          </cell>
        </row>
        <row r="1599">
          <cell r="K1599" t="str">
            <v>LAF1837</v>
          </cell>
          <cell r="L1599" t="str">
            <v>HD</v>
          </cell>
          <cell r="M1599" t="str">
            <v>x</v>
          </cell>
          <cell r="N1599" t="e">
            <v>#N/A</v>
          </cell>
          <cell r="O1599" t="str">
            <v>HD Metal-End Air Filter</v>
          </cell>
        </row>
        <row r="1600">
          <cell r="K1600" t="str">
            <v>LH4199</v>
          </cell>
          <cell r="L1600" t="str">
            <v>HD</v>
          </cell>
          <cell r="M1600" t="str">
            <v>x</v>
          </cell>
          <cell r="N1600" t="e">
            <v>#N/A</v>
          </cell>
          <cell r="O1600" t="str">
            <v>Cartridge Hydraulic Filter</v>
          </cell>
        </row>
        <row r="1601">
          <cell r="K1601" t="str">
            <v>LAF22095</v>
          </cell>
          <cell r="L1601" t="str">
            <v>HD</v>
          </cell>
          <cell r="M1601" t="str">
            <v>x</v>
          </cell>
          <cell r="N1601" t="e">
            <v>#N/A</v>
          </cell>
          <cell r="O1601" t="str">
            <v>Round Air Filter</v>
          </cell>
        </row>
        <row r="1602">
          <cell r="K1602" t="str">
            <v>LAF744</v>
          </cell>
          <cell r="L1602" t="str">
            <v>HD</v>
          </cell>
          <cell r="M1602" t="str">
            <v>x</v>
          </cell>
          <cell r="N1602" t="e">
            <v>#N/A</v>
          </cell>
          <cell r="O1602" t="str">
            <v>HD Metal-End Air Filter</v>
          </cell>
        </row>
        <row r="1603">
          <cell r="K1603" t="str">
            <v>LAF1720</v>
          </cell>
          <cell r="L1603" t="str">
            <v>HD</v>
          </cell>
          <cell r="M1603" t="str">
            <v>x</v>
          </cell>
          <cell r="N1603" t="e">
            <v>#N/A</v>
          </cell>
          <cell r="O1603" t="str">
            <v>Round Inner Air Filter</v>
          </cell>
        </row>
        <row r="1604">
          <cell r="K1604" t="str">
            <v>LFH8484</v>
          </cell>
          <cell r="L1604" t="str">
            <v>HD</v>
          </cell>
          <cell r="M1604" t="str">
            <v>x</v>
          </cell>
          <cell r="N1604" t="e">
            <v>#N/A</v>
          </cell>
          <cell r="O1604" t="str">
            <v>Spin-on Hydraulic Filter</v>
          </cell>
        </row>
        <row r="1605">
          <cell r="K1605" t="str">
            <v>LFP3413</v>
          </cell>
          <cell r="L1605" t="str">
            <v>HD</v>
          </cell>
          <cell r="M1605" t="str">
            <v>x</v>
          </cell>
          <cell r="N1605" t="e">
            <v>#N/A</v>
          </cell>
          <cell r="O1605" t="str">
            <v>Spin-on Oil Filter</v>
          </cell>
        </row>
        <row r="1606">
          <cell r="K1606" t="str">
            <v>LAF8621</v>
          </cell>
          <cell r="L1606" t="str">
            <v>HD</v>
          </cell>
          <cell r="M1606" t="str">
            <v>x</v>
          </cell>
          <cell r="N1606" t="e">
            <v>#N/A</v>
          </cell>
          <cell r="O1606" t="str">
            <v>HD Round Air Filter with Attached Lid</v>
          </cell>
        </row>
        <row r="1607">
          <cell r="K1607" t="str">
            <v>LH9556</v>
          </cell>
          <cell r="L1607" t="str">
            <v>HD</v>
          </cell>
          <cell r="M1607" t="str">
            <v>x</v>
          </cell>
          <cell r="N1607" t="e">
            <v>#N/A</v>
          </cell>
          <cell r="O1607" t="str">
            <v>Cartridge Hydraulic Filter</v>
          </cell>
        </row>
        <row r="1608">
          <cell r="K1608" t="str">
            <v>LAF1801</v>
          </cell>
          <cell r="L1608" t="str">
            <v>HD</v>
          </cell>
          <cell r="M1608" t="str">
            <v>x</v>
          </cell>
          <cell r="N1608" t="e">
            <v>#N/A</v>
          </cell>
          <cell r="O1608" t="str">
            <v>HD Metal-End Air Filter</v>
          </cell>
        </row>
        <row r="1609">
          <cell r="K1609" t="str">
            <v>LAF8623</v>
          </cell>
          <cell r="L1609" t="str">
            <v>HD</v>
          </cell>
          <cell r="M1609" t="str">
            <v>x</v>
          </cell>
          <cell r="N1609" t="e">
            <v>#N/A</v>
          </cell>
          <cell r="O1609" t="str">
            <v>Round Inner Air Filter</v>
          </cell>
        </row>
        <row r="1610">
          <cell r="K1610" t="str">
            <v>LAF8959</v>
          </cell>
          <cell r="L1610" t="str">
            <v>HD</v>
          </cell>
          <cell r="M1610" t="str">
            <v>x</v>
          </cell>
          <cell r="N1610" t="e">
            <v>#N/A</v>
          </cell>
          <cell r="O1610" t="str">
            <v>HD Metal-End Air Filter</v>
          </cell>
        </row>
        <row r="1611">
          <cell r="K1611" t="str">
            <v>LAF1979</v>
          </cell>
          <cell r="L1611" t="str">
            <v>HD</v>
          </cell>
          <cell r="M1611" t="str">
            <v>x</v>
          </cell>
          <cell r="N1611" t="e">
            <v>#N/A</v>
          </cell>
          <cell r="O1611" t="str">
            <v>HD Round Air Filter with Attached Boot</v>
          </cell>
        </row>
        <row r="1612">
          <cell r="K1612" t="str">
            <v>LAF8618</v>
          </cell>
          <cell r="L1612" t="str">
            <v>HD</v>
          </cell>
          <cell r="M1612" t="str">
            <v>x</v>
          </cell>
          <cell r="N1612" t="e">
            <v>#N/A</v>
          </cell>
          <cell r="O1612" t="str">
            <v>HD Metal-End Air Filter-Inner</v>
          </cell>
        </row>
        <row r="1613">
          <cell r="K1613" t="str">
            <v>LH11034</v>
          </cell>
          <cell r="L1613" t="str">
            <v>HD</v>
          </cell>
          <cell r="M1613" t="str">
            <v>x</v>
          </cell>
          <cell r="N1613" t="e">
            <v>#N/A</v>
          </cell>
          <cell r="O1613" t="str">
            <v>Industrial Cartridge Hydraulic Filter</v>
          </cell>
        </row>
        <row r="1614">
          <cell r="K1614" t="str">
            <v>LAF937</v>
          </cell>
          <cell r="L1614" t="str">
            <v>HD</v>
          </cell>
          <cell r="M1614" t="str">
            <v>x</v>
          </cell>
          <cell r="N1614" t="e">
            <v>#N/A</v>
          </cell>
          <cell r="O1614" t="str">
            <v>HD Metal-End Inner Air Filter</v>
          </cell>
        </row>
        <row r="1615">
          <cell r="K1615" t="str">
            <v>LAF22045</v>
          </cell>
          <cell r="L1615" t="str">
            <v>HD</v>
          </cell>
          <cell r="M1615" t="str">
            <v>x</v>
          </cell>
          <cell r="N1615" t="e">
            <v>#N/A</v>
          </cell>
          <cell r="O1615" t="str">
            <v>Oval Air Filter</v>
          </cell>
        </row>
        <row r="1616">
          <cell r="K1616" t="str">
            <v>LAF1878MXM</v>
          </cell>
          <cell r="L1616" t="str">
            <v>HD</v>
          </cell>
          <cell r="M1616" t="str">
            <v>x</v>
          </cell>
          <cell r="N1616" t="e">
            <v>#N/A</v>
          </cell>
          <cell r="O1616" t="str">
            <v>Nano Tech HD Metal-End Air Filter Outer</v>
          </cell>
        </row>
        <row r="1617">
          <cell r="K1617" t="str">
            <v>LAF3657</v>
          </cell>
          <cell r="L1617" t="str">
            <v>HD</v>
          </cell>
          <cell r="M1617" t="str">
            <v>x</v>
          </cell>
          <cell r="N1617" t="e">
            <v>#N/A</v>
          </cell>
          <cell r="O1617" t="str">
            <v>HD Metal-End Inner Air Filter</v>
          </cell>
        </row>
        <row r="1618">
          <cell r="K1618" t="str">
            <v>LMB451</v>
          </cell>
          <cell r="L1618" t="str">
            <v>HD</v>
          </cell>
          <cell r="M1618" t="str">
            <v>x</v>
          </cell>
          <cell r="N1618" t="e">
            <v>#N/A</v>
          </cell>
          <cell r="O1618" t="str">
            <v>Adaptor Base for LFP9750</v>
          </cell>
        </row>
        <row r="1619">
          <cell r="K1619" t="str">
            <v>LH8784G</v>
          </cell>
          <cell r="L1619" t="str">
            <v>HD</v>
          </cell>
          <cell r="M1619" t="str">
            <v>x</v>
          </cell>
          <cell r="N1619" t="e">
            <v>#N/A</v>
          </cell>
          <cell r="O1619" t="str">
            <v>Cartridge Hydraulic Filter</v>
          </cell>
        </row>
        <row r="1620">
          <cell r="K1620" t="str">
            <v>LAF8816</v>
          </cell>
          <cell r="L1620" t="str">
            <v>HD</v>
          </cell>
          <cell r="M1620" t="str">
            <v>x</v>
          </cell>
          <cell r="N1620" t="e">
            <v>#N/A</v>
          </cell>
          <cell r="O1620" t="str">
            <v>Round Inner Air Filter</v>
          </cell>
        </row>
        <row r="1621">
          <cell r="K1621" t="str">
            <v>LAF4319</v>
          </cell>
          <cell r="L1621" t="str">
            <v>HD</v>
          </cell>
          <cell r="M1621" t="str">
            <v>x</v>
          </cell>
          <cell r="N1621" t="e">
            <v>#N/A</v>
          </cell>
          <cell r="O1621" t="str">
            <v>Round Air Filter</v>
          </cell>
        </row>
        <row r="1622">
          <cell r="K1622" t="str">
            <v>L8262F</v>
          </cell>
          <cell r="L1622" t="str">
            <v>HD</v>
          </cell>
          <cell r="M1622" t="str">
            <v>x</v>
          </cell>
          <cell r="N1622" t="e">
            <v>#N/A</v>
          </cell>
          <cell r="O1622" t="str">
            <v>Cartridge Fuel Filter</v>
          </cell>
        </row>
        <row r="1623">
          <cell r="K1623" t="str">
            <v>LAF1755</v>
          </cell>
          <cell r="L1623" t="str">
            <v>HD</v>
          </cell>
          <cell r="M1623" t="str">
            <v>x</v>
          </cell>
          <cell r="N1623" t="e">
            <v>#N/A</v>
          </cell>
          <cell r="O1623" t="str">
            <v>HD Metal-End Air Filter</v>
          </cell>
        </row>
        <row r="1624">
          <cell r="K1624" t="str">
            <v>LAF6680</v>
          </cell>
          <cell r="L1624" t="str">
            <v>HD</v>
          </cell>
          <cell r="M1624" t="str">
            <v>x</v>
          </cell>
          <cell r="N1624" t="e">
            <v>#N/A</v>
          </cell>
          <cell r="O1624" t="str">
            <v>Panel Air Filter Metal Framed</v>
          </cell>
        </row>
        <row r="1625">
          <cell r="K1625" t="str">
            <v>LFH5075</v>
          </cell>
          <cell r="L1625" t="str">
            <v>HD</v>
          </cell>
          <cell r="M1625" t="str">
            <v>x</v>
          </cell>
          <cell r="N1625" t="e">
            <v>#N/A</v>
          </cell>
          <cell r="O1625" t="str">
            <v>Spin-on Hydraulic Filter</v>
          </cell>
        </row>
        <row r="1626">
          <cell r="K1626" t="str">
            <v>LP2250</v>
          </cell>
          <cell r="L1626" t="str">
            <v>HD</v>
          </cell>
          <cell r="M1626" t="str">
            <v>x</v>
          </cell>
          <cell r="N1626" t="e">
            <v>#N/A</v>
          </cell>
          <cell r="O1626" t="str">
            <v>Cartridge Oil Filter</v>
          </cell>
        </row>
        <row r="1627">
          <cell r="K1627" t="str">
            <v>LAF3655</v>
          </cell>
          <cell r="L1627" t="str">
            <v>HD</v>
          </cell>
          <cell r="M1627" t="str">
            <v>x</v>
          </cell>
          <cell r="N1627" t="e">
            <v>#N/A</v>
          </cell>
          <cell r="O1627" t="str">
            <v>HD Metal-End Air Filter</v>
          </cell>
        </row>
        <row r="1628">
          <cell r="K1628" t="str">
            <v>LAF8119</v>
          </cell>
          <cell r="L1628" t="str">
            <v>HD</v>
          </cell>
          <cell r="M1628" t="str">
            <v>x</v>
          </cell>
          <cell r="N1628" t="e">
            <v>#N/A</v>
          </cell>
          <cell r="O1628" t="str">
            <v>HD Metal-End Air Filter-Inner</v>
          </cell>
        </row>
        <row r="1629">
          <cell r="K1629" t="str">
            <v>LFP5930</v>
          </cell>
          <cell r="L1629" t="str">
            <v>HD</v>
          </cell>
          <cell r="M1629" t="str">
            <v>x</v>
          </cell>
          <cell r="N1629" t="e">
            <v>#N/A</v>
          </cell>
          <cell r="O1629" t="str">
            <v>Spin-on Oil Filter</v>
          </cell>
        </row>
        <row r="1630">
          <cell r="K1630">
            <v>750</v>
          </cell>
          <cell r="L1630" t="str">
            <v>HD</v>
          </cell>
          <cell r="M1630" t="str">
            <v>x</v>
          </cell>
          <cell r="N1630" t="e">
            <v>#N/A</v>
          </cell>
          <cell r="O1630" t="str">
            <v>Cover w/3 Plug Holes for Horizontal Mount/750-C</v>
          </cell>
        </row>
        <row r="1631">
          <cell r="K1631" t="str">
            <v>LFH8268</v>
          </cell>
          <cell r="L1631" t="str">
            <v>HD</v>
          </cell>
          <cell r="M1631" t="str">
            <v>x</v>
          </cell>
          <cell r="N1631" t="e">
            <v>#N/A</v>
          </cell>
          <cell r="O1631" t="str">
            <v>Spin-on Hydraulic Filter</v>
          </cell>
        </row>
        <row r="1632">
          <cell r="K1632" t="str">
            <v>L3925F</v>
          </cell>
          <cell r="L1632" t="str">
            <v>HD</v>
          </cell>
          <cell r="M1632" t="str">
            <v>x</v>
          </cell>
          <cell r="N1632" t="e">
            <v>#N/A</v>
          </cell>
          <cell r="O1632" t="str">
            <v>Snap-lock Fuel/Water Separator Filter</v>
          </cell>
        </row>
        <row r="1633">
          <cell r="K1633" t="str">
            <v>LAF480</v>
          </cell>
          <cell r="L1633" t="str">
            <v>HD</v>
          </cell>
          <cell r="M1633" t="str">
            <v>x</v>
          </cell>
          <cell r="N1633" t="e">
            <v>#N/A</v>
          </cell>
          <cell r="O1633" t="str">
            <v>Tube Type Air Filter</v>
          </cell>
        </row>
        <row r="1634">
          <cell r="K1634" t="str">
            <v>LH4254</v>
          </cell>
          <cell r="L1634" t="str">
            <v>HD</v>
          </cell>
          <cell r="M1634" t="str">
            <v>x</v>
          </cell>
          <cell r="N1634" t="e">
            <v>#N/A</v>
          </cell>
          <cell r="O1634" t="str">
            <v>Cartridge Hydraulic Filter</v>
          </cell>
        </row>
        <row r="1635">
          <cell r="K1635" t="str">
            <v>LH4232</v>
          </cell>
          <cell r="L1635" t="str">
            <v>HD</v>
          </cell>
          <cell r="M1635" t="str">
            <v>x</v>
          </cell>
          <cell r="N1635" t="e">
            <v>#N/A</v>
          </cell>
          <cell r="O1635" t="str">
            <v>Cartridge Hydraulic Filter</v>
          </cell>
        </row>
        <row r="1636">
          <cell r="K1636" t="str">
            <v>LFP3582</v>
          </cell>
          <cell r="L1636" t="str">
            <v>HD</v>
          </cell>
          <cell r="M1636" t="str">
            <v>x</v>
          </cell>
          <cell r="N1636" t="e">
            <v>#N/A</v>
          </cell>
          <cell r="O1636" t="str">
            <v>Spin-on Oil Filter</v>
          </cell>
        </row>
        <row r="1637">
          <cell r="K1637" t="str">
            <v>LAF2338</v>
          </cell>
          <cell r="L1637" t="str">
            <v>HD</v>
          </cell>
          <cell r="M1637" t="str">
            <v>x</v>
          </cell>
          <cell r="N1637" t="e">
            <v>#N/A</v>
          </cell>
          <cell r="O1637" t="str">
            <v>Finned Vane Air Filter</v>
          </cell>
        </row>
        <row r="1638">
          <cell r="K1638" t="str">
            <v>LAF8588</v>
          </cell>
          <cell r="L1638" t="str">
            <v>HD</v>
          </cell>
          <cell r="M1638" t="str">
            <v>x</v>
          </cell>
          <cell r="N1638" t="e">
            <v>#N/A</v>
          </cell>
          <cell r="O1638" t="str">
            <v>HD Round Finned Air Filter with Attached Lid</v>
          </cell>
        </row>
        <row r="1639">
          <cell r="K1639" t="str">
            <v>LAF8889</v>
          </cell>
          <cell r="L1639" t="str">
            <v>HD</v>
          </cell>
          <cell r="M1639" t="str">
            <v>x</v>
          </cell>
          <cell r="N1639" t="e">
            <v>#N/A</v>
          </cell>
          <cell r="O1639" t="str">
            <v>Radial Seal Outer Air Filter</v>
          </cell>
        </row>
        <row r="1640">
          <cell r="K1640" t="str">
            <v>LK9I</v>
          </cell>
          <cell r="L1640" t="str">
            <v>HD</v>
          </cell>
          <cell r="M1640" t="str">
            <v>x</v>
          </cell>
          <cell r="N1640" t="e">
            <v>#N/A</v>
          </cell>
          <cell r="O1640" t="str">
            <v>International Engine Maintenance Kit</v>
          </cell>
        </row>
        <row r="1641">
          <cell r="K1641" t="str">
            <v>LK378M</v>
          </cell>
          <cell r="L1641" t="str">
            <v>HD</v>
          </cell>
          <cell r="O1641" t="str">
            <v>Maintenance Kit</v>
          </cell>
        </row>
        <row r="1642">
          <cell r="K1642" t="str">
            <v>LH4912</v>
          </cell>
          <cell r="L1642" t="str">
            <v>HD</v>
          </cell>
          <cell r="M1642" t="str">
            <v>x</v>
          </cell>
          <cell r="N1642" t="e">
            <v>#N/A</v>
          </cell>
          <cell r="O1642" t="str">
            <v>Cartridge Hydraulic Filter</v>
          </cell>
        </row>
        <row r="1643">
          <cell r="K1643" t="str">
            <v>LAF8102</v>
          </cell>
          <cell r="L1643" t="str">
            <v>HD</v>
          </cell>
          <cell r="M1643" t="str">
            <v>x</v>
          </cell>
          <cell r="N1643" t="e">
            <v>#N/A</v>
          </cell>
          <cell r="O1643" t="str">
            <v>Radial Seal Outer Air Filter</v>
          </cell>
        </row>
        <row r="1644">
          <cell r="K1644" t="str">
            <v>LAF8152</v>
          </cell>
          <cell r="L1644" t="str">
            <v>HD</v>
          </cell>
          <cell r="M1644" t="str">
            <v>x</v>
          </cell>
          <cell r="N1644" t="e">
            <v>#N/A</v>
          </cell>
          <cell r="O1644" t="str">
            <v>Radial Seal Inner Air Filter</v>
          </cell>
        </row>
        <row r="1645">
          <cell r="K1645" t="str">
            <v>LH22143</v>
          </cell>
          <cell r="L1645" t="str">
            <v>HD</v>
          </cell>
          <cell r="M1645" t="str">
            <v>x</v>
          </cell>
          <cell r="N1645" t="e">
            <v>#N/A</v>
          </cell>
          <cell r="O1645" t="str">
            <v>Industrial Cartridge Hydraulic Filter</v>
          </cell>
        </row>
        <row r="1646">
          <cell r="K1646" t="str">
            <v>LK223D</v>
          </cell>
          <cell r="L1646" t="str">
            <v>HD</v>
          </cell>
          <cell r="M1646" t="str">
            <v>x</v>
          </cell>
          <cell r="N1646" t="e">
            <v>#N/A</v>
          </cell>
          <cell r="O1646" t="str">
            <v>Detroit Diesel Engine Maintenance Kit</v>
          </cell>
        </row>
        <row r="1647">
          <cell r="K1647" t="str">
            <v>LK338C</v>
          </cell>
          <cell r="L1647" t="str">
            <v>HD</v>
          </cell>
          <cell r="M1647" t="str">
            <v>x</v>
          </cell>
          <cell r="N1647" t="e">
            <v>#N/A</v>
          </cell>
          <cell r="O1647" t="str">
            <v>Cummins Engine Maintenance Kit</v>
          </cell>
        </row>
        <row r="1648">
          <cell r="K1648" t="str">
            <v>LP2299</v>
          </cell>
          <cell r="L1648" t="str">
            <v>HD</v>
          </cell>
          <cell r="M1648" t="str">
            <v>x</v>
          </cell>
          <cell r="N1648" t="e">
            <v>#N/A</v>
          </cell>
          <cell r="O1648" t="str">
            <v>Cartridge Oil Filter</v>
          </cell>
        </row>
        <row r="1649">
          <cell r="K1649" t="str">
            <v>LP2237</v>
          </cell>
          <cell r="L1649" t="str">
            <v>HD</v>
          </cell>
          <cell r="M1649" t="str">
            <v>x</v>
          </cell>
          <cell r="N1649" t="e">
            <v>#N/A</v>
          </cell>
          <cell r="O1649" t="str">
            <v>Cartridge Oil Filter</v>
          </cell>
        </row>
        <row r="1650">
          <cell r="K1650" t="str">
            <v>LH7035V</v>
          </cell>
          <cell r="L1650" t="str">
            <v>HD</v>
          </cell>
          <cell r="M1650" t="str">
            <v>x</v>
          </cell>
          <cell r="N1650" t="e">
            <v>#N/A</v>
          </cell>
          <cell r="O1650" t="str">
            <v>Cartridge Hydraulic Filter</v>
          </cell>
        </row>
        <row r="1651">
          <cell r="K1651" t="str">
            <v>LFH8460</v>
          </cell>
          <cell r="L1651" t="str">
            <v>HD</v>
          </cell>
          <cell r="M1651" t="str">
            <v>x</v>
          </cell>
          <cell r="N1651" t="e">
            <v>#N/A</v>
          </cell>
          <cell r="O1651" t="str">
            <v>Spin-on Hydraulic Filter</v>
          </cell>
        </row>
        <row r="1652">
          <cell r="K1652" t="str">
            <v>LAF5820</v>
          </cell>
          <cell r="L1652" t="str">
            <v>HD</v>
          </cell>
          <cell r="M1652" t="str">
            <v>x</v>
          </cell>
          <cell r="N1652" t="e">
            <v>#N/A</v>
          </cell>
          <cell r="O1652" t="str">
            <v>Rigid Panel Air Filter</v>
          </cell>
        </row>
        <row r="1653">
          <cell r="K1653" t="str">
            <v>LAF8274</v>
          </cell>
          <cell r="L1653" t="str">
            <v>HD</v>
          </cell>
          <cell r="M1653" t="str">
            <v>x</v>
          </cell>
          <cell r="N1653" t="e">
            <v>#N/A</v>
          </cell>
          <cell r="O1653" t="str">
            <v>Panel Air Filter Metal Framed</v>
          </cell>
        </row>
        <row r="1654">
          <cell r="K1654" t="str">
            <v>LAF4246</v>
          </cell>
          <cell r="L1654" t="str">
            <v>HD</v>
          </cell>
          <cell r="M1654" t="str">
            <v>x</v>
          </cell>
          <cell r="N1654" t="e">
            <v>#N/A</v>
          </cell>
          <cell r="O1654" t="str">
            <v>HD Metal-End Air Filter</v>
          </cell>
        </row>
        <row r="1655">
          <cell r="K1655" t="str">
            <v>LAF5725</v>
          </cell>
          <cell r="L1655" t="str">
            <v>HD</v>
          </cell>
          <cell r="M1655" t="str">
            <v>x</v>
          </cell>
          <cell r="N1655" t="e">
            <v>#N/A</v>
          </cell>
          <cell r="O1655" t="str">
            <v>Radial Seal Inner Air Filter</v>
          </cell>
        </row>
        <row r="1656">
          <cell r="K1656" t="str">
            <v>LP815</v>
          </cell>
          <cell r="L1656" t="str">
            <v>HD</v>
          </cell>
          <cell r="M1656" t="str">
            <v>x</v>
          </cell>
          <cell r="N1656" t="e">
            <v>#N/A</v>
          </cell>
          <cell r="O1656" t="str">
            <v>Cartridge Oil Filter</v>
          </cell>
        </row>
        <row r="1657">
          <cell r="K1657" t="str">
            <v>L663F</v>
          </cell>
          <cell r="L1657" t="str">
            <v>HD</v>
          </cell>
          <cell r="M1657" t="str">
            <v>x</v>
          </cell>
          <cell r="N1657" t="e">
            <v>#N/A</v>
          </cell>
          <cell r="O1657" t="str">
            <v>Cartridge Fuel Filter</v>
          </cell>
        </row>
        <row r="1658">
          <cell r="K1658" t="str">
            <v>LFH4951</v>
          </cell>
          <cell r="L1658" t="str">
            <v>HD</v>
          </cell>
          <cell r="M1658" t="str">
            <v>x</v>
          </cell>
          <cell r="N1658" t="e">
            <v>#N/A</v>
          </cell>
          <cell r="O1658" t="str">
            <v>Spin-on Hydraulic Filter</v>
          </cell>
        </row>
        <row r="1659">
          <cell r="K1659" t="str">
            <v>LAF1822</v>
          </cell>
          <cell r="L1659" t="str">
            <v>HD</v>
          </cell>
          <cell r="M1659" t="str">
            <v>x</v>
          </cell>
          <cell r="N1659" t="str">
            <v>LAF1822</v>
          </cell>
          <cell r="O1659" t="str">
            <v>Metal-End Air Filter with Closed Top End Cap</v>
          </cell>
        </row>
        <row r="1660">
          <cell r="K1660" t="str">
            <v>LFH8222</v>
          </cell>
          <cell r="L1660" t="str">
            <v>HD</v>
          </cell>
          <cell r="M1660" t="str">
            <v>x</v>
          </cell>
          <cell r="N1660" t="e">
            <v>#N/A</v>
          </cell>
          <cell r="O1660" t="str">
            <v>Spin-on Hydraulic Filter</v>
          </cell>
        </row>
        <row r="1661">
          <cell r="K1661" t="str">
            <v>LAF1766</v>
          </cell>
          <cell r="L1661" t="str">
            <v>HD</v>
          </cell>
          <cell r="M1661" t="str">
            <v>x</v>
          </cell>
          <cell r="N1661" t="e">
            <v>#N/A</v>
          </cell>
          <cell r="O1661" t="str">
            <v>Round Air Filter</v>
          </cell>
        </row>
        <row r="1662">
          <cell r="K1662" t="str">
            <v>LAF1851</v>
          </cell>
          <cell r="L1662" t="str">
            <v>HD</v>
          </cell>
          <cell r="M1662" t="str">
            <v>x</v>
          </cell>
          <cell r="N1662" t="e">
            <v>#N/A</v>
          </cell>
          <cell r="O1662" t="str">
            <v>HD Metal-End Air Filter</v>
          </cell>
        </row>
        <row r="1663">
          <cell r="K1663">
            <v>200</v>
          </cell>
          <cell r="L1663" t="str">
            <v>HD</v>
          </cell>
          <cell r="M1663" t="str">
            <v>x</v>
          </cell>
          <cell r="N1663" t="e">
            <v>#N/A</v>
          </cell>
          <cell r="O1663" t="str">
            <v>Luber-finer model 200S diesel pak oil filter</v>
          </cell>
        </row>
        <row r="1664">
          <cell r="K1664" t="str">
            <v>PACK</v>
          </cell>
          <cell r="L1664" t="str">
            <v>HD</v>
          </cell>
          <cell r="M1664" t="str">
            <v>x</v>
          </cell>
          <cell r="N1664" t="e">
            <v>#N/A</v>
          </cell>
          <cell r="O1664" t="str">
            <v>Hold Down Stud/750-2C, 3C, 970-C</v>
          </cell>
        </row>
        <row r="1665">
          <cell r="K1665" t="str">
            <v>LAF8567</v>
          </cell>
          <cell r="L1665" t="str">
            <v>HD</v>
          </cell>
          <cell r="M1665" t="str">
            <v>x</v>
          </cell>
          <cell r="N1665" t="e">
            <v>#N/A</v>
          </cell>
          <cell r="O1665" t="str">
            <v>HD Metal-End Air Filter</v>
          </cell>
        </row>
        <row r="1666">
          <cell r="K1666" t="str">
            <v>FP901F</v>
          </cell>
          <cell r="L1666" t="str">
            <v>HD</v>
          </cell>
          <cell r="M1666" t="str">
            <v>x</v>
          </cell>
          <cell r="N1666" t="e">
            <v>#N/A</v>
          </cell>
          <cell r="O1666" t="str">
            <v>Spin-on Fuel Filter</v>
          </cell>
        </row>
        <row r="1667">
          <cell r="K1667" t="str">
            <v>LAF1952</v>
          </cell>
          <cell r="L1667" t="str">
            <v>HD</v>
          </cell>
          <cell r="M1667" t="str">
            <v>x</v>
          </cell>
          <cell r="N1667" t="str">
            <v>LAF1952</v>
          </cell>
          <cell r="O1667" t="str">
            <v>HD Metal-End Inner Air Filter</v>
          </cell>
        </row>
        <row r="1668">
          <cell r="K1668" t="str">
            <v>LAF8494MXM</v>
          </cell>
          <cell r="L1668" t="str">
            <v>HD</v>
          </cell>
          <cell r="M1668" t="str">
            <v>x</v>
          </cell>
          <cell r="N1668" t="e">
            <v>#N/A</v>
          </cell>
          <cell r="O1668" t="str">
            <v xml:space="preserve">Nano Tech Air Filter HD Metal-End </v>
          </cell>
        </row>
        <row r="1669">
          <cell r="K1669" t="str">
            <v>LAF8828</v>
          </cell>
          <cell r="L1669" t="str">
            <v>HD</v>
          </cell>
          <cell r="M1669" t="str">
            <v>x</v>
          </cell>
          <cell r="N1669" t="e">
            <v>#N/A</v>
          </cell>
          <cell r="O1669" t="str">
            <v>HD Metal-End Air Filter-Inner</v>
          </cell>
        </row>
        <row r="1670">
          <cell r="K1670" t="str">
            <v>LAF863</v>
          </cell>
          <cell r="L1670" t="str">
            <v>HD</v>
          </cell>
          <cell r="M1670" t="str">
            <v>x</v>
          </cell>
          <cell r="N1670" t="e">
            <v>#N/A</v>
          </cell>
          <cell r="O1670" t="str">
            <v>HD Metal-End Air Filter</v>
          </cell>
        </row>
        <row r="1671">
          <cell r="K1671" t="str">
            <v>LFH4953</v>
          </cell>
          <cell r="L1671" t="str">
            <v>HD</v>
          </cell>
          <cell r="M1671" t="str">
            <v>x</v>
          </cell>
          <cell r="N1671" t="e">
            <v>#N/A</v>
          </cell>
          <cell r="O1671" t="str">
            <v>Spin-on Hydraulic Filter</v>
          </cell>
        </row>
        <row r="1672">
          <cell r="K1672" t="str">
            <v>LAF3709</v>
          </cell>
          <cell r="L1672" t="str">
            <v>HD</v>
          </cell>
          <cell r="M1672" t="str">
            <v>x</v>
          </cell>
          <cell r="N1672" t="e">
            <v>#N/A</v>
          </cell>
          <cell r="O1672" t="str">
            <v>Round Air Filter</v>
          </cell>
        </row>
        <row r="1673">
          <cell r="K1673" t="str">
            <v>LAF8779</v>
          </cell>
          <cell r="L1673" t="str">
            <v>HD</v>
          </cell>
          <cell r="M1673" t="str">
            <v>x</v>
          </cell>
          <cell r="N1673" t="e">
            <v>#N/A</v>
          </cell>
          <cell r="O1673" t="str">
            <v>Panel Air Filter Metal Framed</v>
          </cell>
        </row>
        <row r="1674">
          <cell r="K1674" t="str">
            <v>LAF9155MXM</v>
          </cell>
          <cell r="L1674" t="str">
            <v>HD</v>
          </cell>
          <cell r="M1674" t="str">
            <v>x</v>
          </cell>
          <cell r="N1674" t="e">
            <v>#N/A</v>
          </cell>
          <cell r="O1674" t="str">
            <v xml:space="preserve">Nano Tech Air Filter HD Metal-End </v>
          </cell>
        </row>
        <row r="1675">
          <cell r="K1675" t="str">
            <v>LAF3918</v>
          </cell>
          <cell r="L1675" t="str">
            <v>HD</v>
          </cell>
          <cell r="M1675" t="str">
            <v>x</v>
          </cell>
          <cell r="N1675" t="e">
            <v>#N/A</v>
          </cell>
          <cell r="O1675" t="str">
            <v>HD Metal-End Air Filter</v>
          </cell>
        </row>
        <row r="1676">
          <cell r="K1676" t="str">
            <v>LK143C</v>
          </cell>
          <cell r="L1676" t="str">
            <v>HD</v>
          </cell>
          <cell r="M1676" t="str">
            <v>x</v>
          </cell>
          <cell r="N1676" t="e">
            <v>#N/A</v>
          </cell>
          <cell r="O1676" t="str">
            <v>Cummins Engine Maintenance Kit</v>
          </cell>
        </row>
        <row r="1677">
          <cell r="K1677" t="str">
            <v>LAF335</v>
          </cell>
          <cell r="L1677" t="str">
            <v>HD</v>
          </cell>
          <cell r="M1677" t="str">
            <v>x</v>
          </cell>
          <cell r="N1677" t="e">
            <v>#N/A</v>
          </cell>
          <cell r="O1677" t="str">
            <v>Round Inner Air Filter with Flanged Endcap</v>
          </cell>
        </row>
        <row r="1678">
          <cell r="K1678" t="str">
            <v>LP6028-5</v>
          </cell>
          <cell r="L1678" t="str">
            <v>HD</v>
          </cell>
          <cell r="M1678" t="str">
            <v>x</v>
          </cell>
          <cell r="N1678" t="e">
            <v>#N/A</v>
          </cell>
          <cell r="O1678" t="str">
            <v>Cartridge Oil Filter</v>
          </cell>
        </row>
        <row r="1679">
          <cell r="K1679" t="str">
            <v>LH4911</v>
          </cell>
          <cell r="L1679" t="str">
            <v>HD</v>
          </cell>
          <cell r="M1679" t="str">
            <v>x</v>
          </cell>
          <cell r="N1679" t="e">
            <v>#N/A</v>
          </cell>
          <cell r="O1679" t="str">
            <v>Cartridge Hydraulic Filter</v>
          </cell>
        </row>
        <row r="1680">
          <cell r="K1680" t="str">
            <v>LAF3233FR</v>
          </cell>
          <cell r="L1680" t="str">
            <v>HD</v>
          </cell>
          <cell r="M1680" t="str">
            <v>x</v>
          </cell>
          <cell r="N1680" t="e">
            <v>#N/A</v>
          </cell>
          <cell r="O1680" t="str">
            <v>Corrugated Media Air Filter</v>
          </cell>
        </row>
        <row r="1681">
          <cell r="K1681" t="str">
            <v>LP970-10</v>
          </cell>
          <cell r="L1681" t="str">
            <v>HD</v>
          </cell>
          <cell r="M1681" t="str">
            <v>x</v>
          </cell>
          <cell r="N1681" t="e">
            <v>#N/A</v>
          </cell>
          <cell r="O1681" t="str">
            <v>Cartridge Oil Filter</v>
          </cell>
        </row>
        <row r="1682">
          <cell r="K1682" t="str">
            <v>LAF8822</v>
          </cell>
          <cell r="L1682" t="str">
            <v>HD</v>
          </cell>
          <cell r="M1682" t="str">
            <v>x</v>
          </cell>
          <cell r="N1682" t="e">
            <v>#N/A</v>
          </cell>
          <cell r="O1682" t="str">
            <v>HD Round Finned Air Filter with Attached Lid</v>
          </cell>
        </row>
        <row r="1683">
          <cell r="K1683" t="str">
            <v>LAF1967</v>
          </cell>
          <cell r="L1683" t="str">
            <v>HD</v>
          </cell>
          <cell r="M1683" t="str">
            <v>x</v>
          </cell>
          <cell r="N1683" t="e">
            <v>#N/A</v>
          </cell>
          <cell r="O1683" t="str">
            <v>HD Metal-End Air Filter</v>
          </cell>
        </row>
        <row r="1684">
          <cell r="K1684" t="str">
            <v>LAF1870</v>
          </cell>
          <cell r="L1684" t="str">
            <v>HD</v>
          </cell>
          <cell r="M1684" t="str">
            <v>x</v>
          </cell>
          <cell r="N1684" t="e">
            <v>#N/A</v>
          </cell>
          <cell r="O1684" t="str">
            <v>Flexible Panel Air Filter</v>
          </cell>
        </row>
        <row r="1685">
          <cell r="K1685" t="str">
            <v>LAF2530</v>
          </cell>
          <cell r="L1685" t="str">
            <v>HD</v>
          </cell>
          <cell r="M1685" t="str">
            <v>x</v>
          </cell>
          <cell r="N1685" t="e">
            <v>#N/A</v>
          </cell>
          <cell r="O1685" t="str">
            <v>Disposible Housing Air Filter</v>
          </cell>
        </row>
        <row r="1686">
          <cell r="K1686" t="str">
            <v>LH4235</v>
          </cell>
          <cell r="L1686" t="str">
            <v>HD</v>
          </cell>
          <cell r="M1686" t="str">
            <v>x</v>
          </cell>
          <cell r="N1686" t="e">
            <v>#N/A</v>
          </cell>
          <cell r="O1686" t="str">
            <v>Cartridge Hydraulic Filter</v>
          </cell>
        </row>
        <row r="1687">
          <cell r="K1687" t="str">
            <v>LH4252</v>
          </cell>
          <cell r="L1687" t="str">
            <v>HD</v>
          </cell>
          <cell r="M1687" t="str">
            <v>x</v>
          </cell>
          <cell r="N1687" t="e">
            <v>#N/A</v>
          </cell>
          <cell r="O1687" t="str">
            <v>Cartridge Hydraulic Filter</v>
          </cell>
        </row>
        <row r="1688">
          <cell r="K1688" t="str">
            <v>LFH8535</v>
          </cell>
          <cell r="L1688" t="str">
            <v>HD</v>
          </cell>
          <cell r="M1688" t="str">
            <v>x</v>
          </cell>
          <cell r="N1688" t="e">
            <v>#N/A</v>
          </cell>
          <cell r="O1688" t="str">
            <v>Spin-on Hydraulic Filter</v>
          </cell>
        </row>
        <row r="1689">
          <cell r="K1689" t="str">
            <v>LAF8818</v>
          </cell>
          <cell r="L1689" t="str">
            <v>HD</v>
          </cell>
          <cell r="M1689" t="str">
            <v>x</v>
          </cell>
          <cell r="N1689" t="e">
            <v>#N/A</v>
          </cell>
          <cell r="O1689" t="str">
            <v>HD Round Finned Air Filter with Attached Lid</v>
          </cell>
        </row>
        <row r="1690">
          <cell r="K1690">
            <v>920055</v>
          </cell>
          <cell r="L1690" t="str">
            <v>HD</v>
          </cell>
          <cell r="M1690" t="str">
            <v>x</v>
          </cell>
          <cell r="N1690" t="e">
            <v>#N/A</v>
          </cell>
          <cell r="O1690" t="str">
            <v>Lubercool II 55 Gallon Drum</v>
          </cell>
        </row>
        <row r="1691">
          <cell r="K1691" t="str">
            <v>LH8304</v>
          </cell>
          <cell r="L1691" t="str">
            <v>HD</v>
          </cell>
          <cell r="M1691" t="str">
            <v>x</v>
          </cell>
          <cell r="N1691" t="e">
            <v>#N/A</v>
          </cell>
          <cell r="O1691" t="str">
            <v>Cartridge Hydraulic Filter</v>
          </cell>
        </row>
        <row r="1692">
          <cell r="K1692" t="str">
            <v>LAF1847</v>
          </cell>
          <cell r="L1692" t="str">
            <v>HD</v>
          </cell>
          <cell r="M1692" t="str">
            <v>x</v>
          </cell>
          <cell r="N1692" t="e">
            <v>#N/A</v>
          </cell>
          <cell r="O1692" t="str">
            <v>Round Inner Air Filter with Flanged Endcap</v>
          </cell>
        </row>
        <row r="1693">
          <cell r="K1693" t="str">
            <v>LAF8561</v>
          </cell>
          <cell r="L1693" t="str">
            <v>HD</v>
          </cell>
          <cell r="M1693" t="str">
            <v>x</v>
          </cell>
          <cell r="N1693" t="e">
            <v>#N/A</v>
          </cell>
          <cell r="O1693" t="str">
            <v>Finned Vane Air Filter</v>
          </cell>
        </row>
        <row r="1694">
          <cell r="K1694" t="str">
            <v>L22060F</v>
          </cell>
          <cell r="L1694" t="str">
            <v>HD</v>
          </cell>
          <cell r="M1694" t="str">
            <v>x</v>
          </cell>
          <cell r="N1694" t="e">
            <v>#N/A</v>
          </cell>
          <cell r="O1694" t="str">
            <v>Cartridge Fuel Filter</v>
          </cell>
        </row>
        <row r="1695">
          <cell r="K1695" t="str">
            <v>LFH5896</v>
          </cell>
          <cell r="L1695" t="str">
            <v>HD</v>
          </cell>
          <cell r="M1695" t="str">
            <v>x</v>
          </cell>
          <cell r="N1695" t="e">
            <v>#N/A</v>
          </cell>
          <cell r="O1695" t="str">
            <v>Spin-on Hydraulic Filter</v>
          </cell>
        </row>
        <row r="1696">
          <cell r="K1696" t="str">
            <v>LAF1817</v>
          </cell>
          <cell r="L1696" t="str">
            <v>HD</v>
          </cell>
          <cell r="M1696" t="str">
            <v>x</v>
          </cell>
          <cell r="N1696" t="e">
            <v>#N/A</v>
          </cell>
          <cell r="O1696" t="str">
            <v>HD Metal-End Air Filter</v>
          </cell>
        </row>
        <row r="1697">
          <cell r="K1697" t="str">
            <v>LAF8155</v>
          </cell>
          <cell r="L1697" t="str">
            <v>HD</v>
          </cell>
          <cell r="M1697" t="str">
            <v>x</v>
          </cell>
          <cell r="N1697" t="e">
            <v>#N/A</v>
          </cell>
          <cell r="O1697" t="str">
            <v>HD Round Air Filter with Attached Boot</v>
          </cell>
        </row>
        <row r="1698">
          <cell r="K1698" t="str">
            <v>LAF5081</v>
          </cell>
          <cell r="L1698" t="str">
            <v>HD</v>
          </cell>
          <cell r="M1698" t="str">
            <v>x</v>
          </cell>
          <cell r="N1698" t="e">
            <v>#N/A</v>
          </cell>
          <cell r="O1698" t="str">
            <v>HD Metal-End Air Filter</v>
          </cell>
        </row>
        <row r="1699">
          <cell r="K1699" t="str">
            <v>LFF90011</v>
          </cell>
          <cell r="L1699" t="str">
            <v>HD</v>
          </cell>
          <cell r="M1699" t="str">
            <v>x</v>
          </cell>
          <cell r="N1699" t="e">
            <v>#N/A</v>
          </cell>
          <cell r="O1699" t="str">
            <v>Spin-on Fuel Filter</v>
          </cell>
        </row>
        <row r="1700">
          <cell r="K1700" t="str">
            <v>LAF4149</v>
          </cell>
          <cell r="L1700" t="str">
            <v>HD</v>
          </cell>
          <cell r="M1700" t="str">
            <v>x</v>
          </cell>
          <cell r="N1700" t="e">
            <v>#N/A</v>
          </cell>
          <cell r="O1700" t="str">
            <v>HD Metal-End Air Filter</v>
          </cell>
        </row>
        <row r="1701">
          <cell r="K1701" t="str">
            <v>L1874T</v>
          </cell>
          <cell r="L1701" t="str">
            <v>HD</v>
          </cell>
          <cell r="M1701" t="str">
            <v>x</v>
          </cell>
          <cell r="N1701" t="e">
            <v>#N/A</v>
          </cell>
          <cell r="O1701" t="str">
            <v>Sock Type Oil Filter</v>
          </cell>
        </row>
        <row r="1702">
          <cell r="K1702" t="str">
            <v>LK297M</v>
          </cell>
          <cell r="L1702" t="str">
            <v>HD</v>
          </cell>
          <cell r="M1702" t="str">
            <v>x</v>
          </cell>
          <cell r="N1702" t="e">
            <v>#N/A</v>
          </cell>
          <cell r="O1702" t="str">
            <v>Mack Engine Maintenance Kit</v>
          </cell>
        </row>
        <row r="1703">
          <cell r="K1703" t="str">
            <v>LAF8764</v>
          </cell>
          <cell r="L1703" t="str">
            <v>HD</v>
          </cell>
          <cell r="M1703" t="str">
            <v>x</v>
          </cell>
          <cell r="N1703" t="e">
            <v>#N/A</v>
          </cell>
          <cell r="O1703" t="str">
            <v>Disposible Housing Air Filter</v>
          </cell>
        </row>
        <row r="1704">
          <cell r="K1704" t="str">
            <v>LP2220N</v>
          </cell>
          <cell r="L1704" t="str">
            <v>HD</v>
          </cell>
          <cell r="M1704" t="str">
            <v>x</v>
          </cell>
          <cell r="N1704" t="e">
            <v>#N/A</v>
          </cell>
          <cell r="O1704" t="str">
            <v>Cartridge Oil Filter</v>
          </cell>
        </row>
        <row r="1705">
          <cell r="K1705" t="str">
            <v>LAF1796</v>
          </cell>
          <cell r="L1705" t="str">
            <v>HD</v>
          </cell>
          <cell r="M1705" t="str">
            <v>x</v>
          </cell>
          <cell r="N1705" t="e">
            <v>#N/A</v>
          </cell>
          <cell r="O1705" t="str">
            <v>Metal-End Air Filter with Closed Top End Cap</v>
          </cell>
        </row>
        <row r="1706">
          <cell r="K1706" t="str">
            <v>LAF5821</v>
          </cell>
          <cell r="L1706" t="str">
            <v>HD</v>
          </cell>
          <cell r="M1706" t="str">
            <v>x</v>
          </cell>
          <cell r="N1706" t="e">
            <v>#N/A</v>
          </cell>
          <cell r="O1706" t="str">
            <v>Rigid Panel Air Filter</v>
          </cell>
        </row>
        <row r="1707">
          <cell r="K1707" t="str">
            <v>LAF8112</v>
          </cell>
          <cell r="L1707" t="str">
            <v>HD</v>
          </cell>
          <cell r="M1707" t="str">
            <v>x</v>
          </cell>
          <cell r="N1707" t="e">
            <v>#N/A</v>
          </cell>
          <cell r="O1707" t="str">
            <v>Radial Seal Outer Air Filter</v>
          </cell>
        </row>
        <row r="1708">
          <cell r="K1708" t="str">
            <v>LAF1971</v>
          </cell>
          <cell r="L1708" t="str">
            <v>HD</v>
          </cell>
          <cell r="M1708" t="str">
            <v>x</v>
          </cell>
          <cell r="N1708" t="e">
            <v>#N/A</v>
          </cell>
          <cell r="O1708" t="str">
            <v>HD Metal-End Air Filter-Inner</v>
          </cell>
        </row>
        <row r="1709">
          <cell r="K1709" t="str">
            <v>LH4994</v>
          </cell>
          <cell r="L1709" t="str">
            <v>HD</v>
          </cell>
          <cell r="M1709" t="str">
            <v>x</v>
          </cell>
          <cell r="N1709" t="e">
            <v>#N/A</v>
          </cell>
          <cell r="O1709" t="str">
            <v>Cartridge Hydraulic Filter</v>
          </cell>
        </row>
        <row r="1710">
          <cell r="K1710" t="str">
            <v>LAF8603</v>
          </cell>
          <cell r="L1710" t="str">
            <v>HD</v>
          </cell>
          <cell r="M1710" t="str">
            <v>x</v>
          </cell>
          <cell r="N1710" t="e">
            <v>#N/A</v>
          </cell>
          <cell r="O1710" t="str">
            <v>HD Round Finned Air Filter with Attached Lid</v>
          </cell>
        </row>
        <row r="1711">
          <cell r="K1711" t="str">
            <v>LP1655</v>
          </cell>
          <cell r="L1711" t="str">
            <v>HD</v>
          </cell>
          <cell r="M1711" t="str">
            <v>x</v>
          </cell>
          <cell r="N1711" t="e">
            <v>#N/A</v>
          </cell>
          <cell r="O1711" t="str">
            <v>Cartridge Oil Filter</v>
          </cell>
        </row>
        <row r="1712">
          <cell r="K1712" t="str">
            <v>LFP3791</v>
          </cell>
          <cell r="L1712" t="str">
            <v>HD</v>
          </cell>
          <cell r="M1712" t="str">
            <v>x</v>
          </cell>
          <cell r="N1712" t="e">
            <v>#N/A</v>
          </cell>
          <cell r="O1712" t="str">
            <v>Spin-on Oil Filter</v>
          </cell>
        </row>
        <row r="1713">
          <cell r="K1713" t="str">
            <v>LAF8084</v>
          </cell>
          <cell r="L1713" t="str">
            <v>HD</v>
          </cell>
          <cell r="M1713" t="str">
            <v>x</v>
          </cell>
          <cell r="N1713" t="e">
            <v>#N/A</v>
          </cell>
          <cell r="O1713" t="str">
            <v>HD Metal-End Air Filter with Attached Lid</v>
          </cell>
        </row>
        <row r="1714">
          <cell r="K1714" t="str">
            <v>LAF1866</v>
          </cell>
          <cell r="L1714" t="str">
            <v>HD</v>
          </cell>
          <cell r="M1714" t="str">
            <v>x</v>
          </cell>
          <cell r="N1714" t="str">
            <v>LAF1866</v>
          </cell>
          <cell r="O1714" t="str">
            <v>Finned Vane Air Filter</v>
          </cell>
        </row>
        <row r="1715">
          <cell r="K1715" t="str">
            <v>L9550FXL</v>
          </cell>
          <cell r="L1715" t="str">
            <v>HD</v>
          </cell>
          <cell r="M1715" t="str">
            <v>x</v>
          </cell>
          <cell r="N1715" t="e">
            <v>#N/A</v>
          </cell>
          <cell r="O1715" t="str">
            <v>Extended Life Cartridge Fuel Filter</v>
          </cell>
        </row>
        <row r="1716">
          <cell r="K1716" t="str">
            <v>LAF2543</v>
          </cell>
          <cell r="L1716" t="str">
            <v>HD</v>
          </cell>
          <cell r="M1716" t="str">
            <v>x</v>
          </cell>
          <cell r="N1716" t="e">
            <v>#N/A</v>
          </cell>
          <cell r="O1716" t="str">
            <v>HD Metal-End Air Filter</v>
          </cell>
        </row>
        <row r="1717">
          <cell r="K1717" t="str">
            <v>LAF8190</v>
          </cell>
          <cell r="L1717" t="str">
            <v>HD</v>
          </cell>
          <cell r="M1717" t="str">
            <v>x</v>
          </cell>
          <cell r="N1717" t="e">
            <v>#N/A</v>
          </cell>
          <cell r="O1717" t="str">
            <v>Round Air Filter</v>
          </cell>
        </row>
        <row r="1718">
          <cell r="K1718" t="str">
            <v>LH11024V</v>
          </cell>
          <cell r="L1718" t="str">
            <v>HD</v>
          </cell>
          <cell r="M1718" t="str">
            <v>x</v>
          </cell>
          <cell r="N1718" t="e">
            <v>#N/A</v>
          </cell>
          <cell r="O1718" t="str">
            <v>Industrial Cartridge Hydraulic Filter</v>
          </cell>
        </row>
        <row r="1719">
          <cell r="K1719" t="str">
            <v>LAF22024</v>
          </cell>
          <cell r="L1719" t="str">
            <v>HD</v>
          </cell>
          <cell r="M1719" t="str">
            <v>x</v>
          </cell>
          <cell r="N1719" t="e">
            <v>#N/A</v>
          </cell>
          <cell r="O1719" t="str">
            <v>Oval Air Filter</v>
          </cell>
        </row>
        <row r="1720">
          <cell r="K1720" t="str">
            <v>LAF3901</v>
          </cell>
          <cell r="L1720" t="str">
            <v>HD</v>
          </cell>
          <cell r="M1720" t="str">
            <v>x</v>
          </cell>
          <cell r="N1720" t="e">
            <v>#N/A</v>
          </cell>
          <cell r="O1720" t="str">
            <v>Round Air Filter with Flanged Endcap</v>
          </cell>
        </row>
        <row r="1721">
          <cell r="K1721" t="str">
            <v>LH4924</v>
          </cell>
          <cell r="L1721" t="str">
            <v>HD</v>
          </cell>
          <cell r="M1721" t="str">
            <v>x</v>
          </cell>
          <cell r="N1721" t="e">
            <v>#N/A</v>
          </cell>
          <cell r="O1721" t="str">
            <v>Cartridge Hydraulic Filter</v>
          </cell>
        </row>
        <row r="1722">
          <cell r="K1722" t="str">
            <v>LAF8999</v>
          </cell>
          <cell r="L1722" t="str">
            <v>HD</v>
          </cell>
          <cell r="M1722" t="str">
            <v>x</v>
          </cell>
          <cell r="N1722" t="e">
            <v>#N/A</v>
          </cell>
          <cell r="O1722" t="str">
            <v>Cabin Air Filter</v>
          </cell>
        </row>
        <row r="1723">
          <cell r="K1723" t="str">
            <v>LAF2540</v>
          </cell>
          <cell r="L1723" t="str">
            <v>HD</v>
          </cell>
          <cell r="M1723" t="str">
            <v>x</v>
          </cell>
          <cell r="N1723" t="e">
            <v>#N/A</v>
          </cell>
          <cell r="O1723" t="str">
            <v>HD Metal-End Air Filter</v>
          </cell>
        </row>
        <row r="1724">
          <cell r="K1724" t="str">
            <v>LFP8235</v>
          </cell>
          <cell r="L1724" t="str">
            <v>HD</v>
          </cell>
          <cell r="M1724" t="str">
            <v>x</v>
          </cell>
          <cell r="N1724" t="e">
            <v>#N/A</v>
          </cell>
          <cell r="O1724" t="str">
            <v>Spin-on Oil Filter</v>
          </cell>
        </row>
        <row r="1725">
          <cell r="K1725" t="str">
            <v>LAF1998</v>
          </cell>
          <cell r="L1725" t="str">
            <v>HD</v>
          </cell>
          <cell r="M1725" t="str">
            <v>x</v>
          </cell>
          <cell r="N1725" t="e">
            <v>#N/A</v>
          </cell>
          <cell r="O1725" t="str">
            <v>Screw On Breather Air Filter</v>
          </cell>
        </row>
        <row r="1726">
          <cell r="K1726" t="str">
            <v>LFH4472</v>
          </cell>
          <cell r="L1726" t="str">
            <v>HD</v>
          </cell>
          <cell r="M1726" t="str">
            <v>x</v>
          </cell>
          <cell r="N1726" t="e">
            <v>#N/A</v>
          </cell>
          <cell r="O1726" t="str">
            <v>Spin-on Hydraulic Filter</v>
          </cell>
        </row>
        <row r="1727">
          <cell r="K1727" t="str">
            <v>LAF1990</v>
          </cell>
          <cell r="L1727" t="str">
            <v>HD</v>
          </cell>
          <cell r="M1727" t="str">
            <v>x</v>
          </cell>
          <cell r="N1727" t="e">
            <v>#N/A</v>
          </cell>
          <cell r="O1727" t="str">
            <v>HD Metal-End Inner Air Filter</v>
          </cell>
        </row>
        <row r="1728">
          <cell r="K1728" t="str">
            <v>500CT</v>
          </cell>
          <cell r="L1728" t="str">
            <v>HD</v>
          </cell>
          <cell r="M1728" t="str">
            <v>x</v>
          </cell>
          <cell r="N1728" t="e">
            <v>#N/A</v>
          </cell>
          <cell r="O1728" t="str">
            <v>Standard Upright 500-C Unit w/Imperial  Diesel Pack</v>
          </cell>
        </row>
        <row r="1729">
          <cell r="K1729" t="str">
            <v>LAF8405</v>
          </cell>
          <cell r="L1729" t="str">
            <v>HD</v>
          </cell>
          <cell r="M1729" t="str">
            <v>x</v>
          </cell>
          <cell r="N1729" t="e">
            <v>#N/A</v>
          </cell>
          <cell r="O1729" t="str">
            <v>Radial Seal Inner Air Filter</v>
          </cell>
        </row>
        <row r="1730">
          <cell r="K1730" t="str">
            <v>LAF8111</v>
          </cell>
          <cell r="L1730" t="str">
            <v>HD</v>
          </cell>
          <cell r="M1730" t="str">
            <v>x</v>
          </cell>
          <cell r="N1730" t="e">
            <v>#N/A</v>
          </cell>
          <cell r="O1730" t="str">
            <v>Radial Seal Inner Air Filter</v>
          </cell>
        </row>
        <row r="1731">
          <cell r="K1731" t="str">
            <v>LH95105V</v>
          </cell>
          <cell r="L1731" t="str">
            <v>HD</v>
          </cell>
          <cell r="M1731" t="str">
            <v>x</v>
          </cell>
          <cell r="N1731" t="e">
            <v>#N/A</v>
          </cell>
          <cell r="O1731" t="str">
            <v>Cartridge Hydraulic Filter</v>
          </cell>
        </row>
        <row r="1732">
          <cell r="K1732" t="str">
            <v>LAF431</v>
          </cell>
          <cell r="L1732" t="str">
            <v>HD</v>
          </cell>
          <cell r="M1732" t="str">
            <v>x</v>
          </cell>
          <cell r="N1732" t="e">
            <v>#N/A</v>
          </cell>
          <cell r="O1732" t="str">
            <v>HD Metal-End Air Filter</v>
          </cell>
        </row>
        <row r="1733">
          <cell r="K1733" t="str">
            <v>LFP2200K</v>
          </cell>
          <cell r="L1733" t="str">
            <v>HD</v>
          </cell>
          <cell r="M1733" t="str">
            <v>x</v>
          </cell>
          <cell r="N1733" t="e">
            <v>#N/A</v>
          </cell>
          <cell r="O1733" t="str">
            <v>Coalescer Fuel Filter and Mounting Base</v>
          </cell>
        </row>
        <row r="1734">
          <cell r="K1734" t="str">
            <v>LAF4503MXM</v>
          </cell>
          <cell r="L1734" t="str">
            <v>HD</v>
          </cell>
          <cell r="M1734" t="str">
            <v>x</v>
          </cell>
          <cell r="N1734" t="e">
            <v>#N/A</v>
          </cell>
          <cell r="O1734" t="str">
            <v>Nano Tech Radial Seal Air Filter</v>
          </cell>
        </row>
        <row r="1735">
          <cell r="K1735" t="str">
            <v>LH4901</v>
          </cell>
          <cell r="L1735" t="str">
            <v>HD</v>
          </cell>
          <cell r="M1735" t="str">
            <v>x</v>
          </cell>
          <cell r="N1735" t="e">
            <v>#N/A</v>
          </cell>
          <cell r="O1735" t="str">
            <v>Cartridge Hydraulic Filter</v>
          </cell>
        </row>
        <row r="1736">
          <cell r="K1736" t="str">
            <v>LAF4272</v>
          </cell>
          <cell r="L1736" t="str">
            <v>HD</v>
          </cell>
          <cell r="M1736" t="str">
            <v>x</v>
          </cell>
          <cell r="N1736" t="e">
            <v>#N/A</v>
          </cell>
          <cell r="O1736" t="str">
            <v>Round Air Filter</v>
          </cell>
        </row>
        <row r="1737">
          <cell r="K1737" t="str">
            <v>LAF8218</v>
          </cell>
          <cell r="L1737" t="str">
            <v>HD</v>
          </cell>
          <cell r="M1737" t="str">
            <v>x</v>
          </cell>
          <cell r="N1737" t="e">
            <v>#N/A</v>
          </cell>
          <cell r="O1737" t="str">
            <v>HD Metal-End Inner Air Filter</v>
          </cell>
        </row>
        <row r="1738">
          <cell r="K1738" t="str">
            <v>LAF8838</v>
          </cell>
          <cell r="L1738" t="str">
            <v>HD</v>
          </cell>
          <cell r="M1738" t="str">
            <v>x</v>
          </cell>
          <cell r="N1738" t="e">
            <v>#N/A</v>
          </cell>
          <cell r="O1738" t="str">
            <v>Radial Seal Outer Air Filter</v>
          </cell>
        </row>
        <row r="1739">
          <cell r="K1739" t="str">
            <v>LAF3785</v>
          </cell>
          <cell r="L1739" t="str">
            <v>HD</v>
          </cell>
          <cell r="M1739" t="str">
            <v>x</v>
          </cell>
          <cell r="N1739" t="e">
            <v>#N/A</v>
          </cell>
          <cell r="O1739" t="str">
            <v>Metal-End Air Filter with Closed Top End Cap</v>
          </cell>
        </row>
        <row r="1740">
          <cell r="K1740" t="str">
            <v>LAF8515</v>
          </cell>
          <cell r="L1740" t="str">
            <v>HD</v>
          </cell>
          <cell r="M1740" t="str">
            <v>x</v>
          </cell>
          <cell r="N1740" t="e">
            <v>#N/A</v>
          </cell>
          <cell r="O1740" t="str">
            <v>HD Round Finned Air Filter with Attached Lid</v>
          </cell>
        </row>
        <row r="1741">
          <cell r="K1741" t="str">
            <v>LK208C</v>
          </cell>
          <cell r="L1741" t="str">
            <v>HD</v>
          </cell>
          <cell r="M1741" t="str">
            <v>x</v>
          </cell>
          <cell r="N1741" t="e">
            <v>#N/A</v>
          </cell>
          <cell r="O1741" t="str">
            <v>Cummins Engine Maintenance Kit</v>
          </cell>
        </row>
        <row r="1742">
          <cell r="K1742" t="str">
            <v>LH95282V</v>
          </cell>
          <cell r="L1742" t="str">
            <v>HD</v>
          </cell>
          <cell r="M1742" t="str">
            <v>x</v>
          </cell>
          <cell r="N1742" t="e">
            <v>#N/A</v>
          </cell>
          <cell r="O1742" t="str">
            <v>Cartridge Hydraulic Filter</v>
          </cell>
        </row>
        <row r="1743">
          <cell r="K1743" t="str">
            <v>LH5008</v>
          </cell>
          <cell r="L1743" t="str">
            <v>HD</v>
          </cell>
          <cell r="M1743" t="str">
            <v>x</v>
          </cell>
          <cell r="N1743" t="e">
            <v>#N/A</v>
          </cell>
          <cell r="O1743" t="str">
            <v>Cartridge Hydraulic Filter</v>
          </cell>
        </row>
        <row r="1744">
          <cell r="K1744" t="str">
            <v>LH5007</v>
          </cell>
          <cell r="L1744" t="str">
            <v>HD</v>
          </cell>
          <cell r="M1744" t="str">
            <v>x</v>
          </cell>
          <cell r="N1744" t="e">
            <v>#N/A</v>
          </cell>
          <cell r="O1744" t="str">
            <v>Cartridge Hydraulic Filter</v>
          </cell>
        </row>
        <row r="1745">
          <cell r="K1745" t="str">
            <v>L43F</v>
          </cell>
          <cell r="L1745" t="str">
            <v>HD</v>
          </cell>
          <cell r="M1745" t="str">
            <v>x</v>
          </cell>
          <cell r="N1745" t="e">
            <v>#N/A</v>
          </cell>
          <cell r="O1745" t="str">
            <v>Cartridge Fuel Filter</v>
          </cell>
        </row>
        <row r="1746">
          <cell r="K1746" t="str">
            <v>LAF1712</v>
          </cell>
          <cell r="L1746" t="str">
            <v>HD</v>
          </cell>
          <cell r="M1746" t="str">
            <v>x</v>
          </cell>
          <cell r="N1746" t="e">
            <v>#N/A</v>
          </cell>
          <cell r="O1746" t="str">
            <v>HD Metal-End Air Filter</v>
          </cell>
        </row>
        <row r="1747">
          <cell r="K1747" t="str">
            <v>LAF46</v>
          </cell>
          <cell r="L1747" t="str">
            <v>HD</v>
          </cell>
          <cell r="M1747" t="str">
            <v>x</v>
          </cell>
          <cell r="N1747" t="e">
            <v>#N/A</v>
          </cell>
          <cell r="O1747" t="str">
            <v>Round Inner Air Filter with Flanged Endcap</v>
          </cell>
        </row>
        <row r="1748">
          <cell r="K1748" t="str">
            <v>LH4992</v>
          </cell>
          <cell r="L1748" t="str">
            <v>HD</v>
          </cell>
          <cell r="M1748" t="str">
            <v>x</v>
          </cell>
          <cell r="N1748" t="e">
            <v>#N/A</v>
          </cell>
          <cell r="O1748" t="str">
            <v>Cartridge Hydraulic Filter</v>
          </cell>
        </row>
        <row r="1749">
          <cell r="K1749" t="str">
            <v>LH11009V</v>
          </cell>
          <cell r="L1749" t="str">
            <v>HD</v>
          </cell>
          <cell r="M1749" t="str">
            <v>x</v>
          </cell>
          <cell r="N1749" t="e">
            <v>#N/A</v>
          </cell>
          <cell r="O1749" t="str">
            <v>Industrial Cartridge Hydraulic Filter</v>
          </cell>
        </row>
        <row r="1750">
          <cell r="K1750" t="str">
            <v>LAF6662</v>
          </cell>
          <cell r="L1750" t="str">
            <v>HD</v>
          </cell>
          <cell r="M1750" t="str">
            <v>x</v>
          </cell>
          <cell r="N1750" t="e">
            <v>#N/A</v>
          </cell>
          <cell r="O1750" t="str">
            <v>HD Metal-End Air Filter with Attached Lid</v>
          </cell>
        </row>
        <row r="1751">
          <cell r="K1751" t="str">
            <v>LAF6412</v>
          </cell>
          <cell r="L1751" t="str">
            <v>HD</v>
          </cell>
          <cell r="M1751" t="str">
            <v>x</v>
          </cell>
          <cell r="N1751" t="e">
            <v>#N/A</v>
          </cell>
          <cell r="O1751" t="str">
            <v>HD Round Finned Air Filter with Attached Lid</v>
          </cell>
        </row>
        <row r="1752">
          <cell r="K1752" t="str">
            <v>LAF1736</v>
          </cell>
          <cell r="L1752" t="str">
            <v>HD</v>
          </cell>
          <cell r="M1752" t="str">
            <v>x</v>
          </cell>
          <cell r="N1752" t="e">
            <v>#N/A</v>
          </cell>
          <cell r="O1752" t="str">
            <v>HD Round Air Filter with Attached Lid</v>
          </cell>
        </row>
        <row r="1753">
          <cell r="K1753" t="str">
            <v>LAF1012HD</v>
          </cell>
          <cell r="L1753" t="str">
            <v>HD</v>
          </cell>
          <cell r="M1753" t="str">
            <v>x</v>
          </cell>
          <cell r="N1753" t="e">
            <v>#N/A</v>
          </cell>
          <cell r="O1753" t="str">
            <v>Round Air Filter</v>
          </cell>
        </row>
        <row r="1754">
          <cell r="K1754" t="str">
            <v>LFH7551</v>
          </cell>
          <cell r="L1754" t="str">
            <v>HD</v>
          </cell>
          <cell r="M1754" t="str">
            <v>x</v>
          </cell>
          <cell r="N1754" t="e">
            <v>#N/A</v>
          </cell>
          <cell r="O1754" t="str">
            <v>Spin-on Hydraulic Filter</v>
          </cell>
        </row>
        <row r="1755">
          <cell r="K1755" t="str">
            <v>LAF24</v>
          </cell>
          <cell r="L1755" t="str">
            <v>HD</v>
          </cell>
          <cell r="M1755" t="str">
            <v>x</v>
          </cell>
          <cell r="N1755" t="e">
            <v>#N/A</v>
          </cell>
          <cell r="O1755" t="str">
            <v>Tube Type Air Filter</v>
          </cell>
        </row>
        <row r="1756">
          <cell r="K1756" t="str">
            <v>LAF8619</v>
          </cell>
          <cell r="L1756" t="str">
            <v>HD</v>
          </cell>
          <cell r="M1756" t="str">
            <v>x</v>
          </cell>
          <cell r="N1756" t="e">
            <v>#N/A</v>
          </cell>
          <cell r="O1756" t="str">
            <v>Finned Vane Air Filter</v>
          </cell>
        </row>
        <row r="1757">
          <cell r="K1757" t="str">
            <v>LAF1777</v>
          </cell>
          <cell r="L1757" t="str">
            <v>HD</v>
          </cell>
          <cell r="M1757" t="str">
            <v>x</v>
          </cell>
          <cell r="N1757" t="e">
            <v>#N/A</v>
          </cell>
          <cell r="O1757" t="str">
            <v>Round Inner Air Filter</v>
          </cell>
        </row>
        <row r="1758">
          <cell r="K1758" t="str">
            <v>LAF528</v>
          </cell>
          <cell r="L1758" t="str">
            <v>HD</v>
          </cell>
          <cell r="M1758" t="str">
            <v>x</v>
          </cell>
          <cell r="N1758" t="e">
            <v>#N/A</v>
          </cell>
          <cell r="O1758" t="str">
            <v>Rigid Panel Air Filter</v>
          </cell>
        </row>
        <row r="1759">
          <cell r="K1759" t="str">
            <v>LAF4312</v>
          </cell>
          <cell r="L1759" t="str">
            <v>HD</v>
          </cell>
          <cell r="M1759" t="str">
            <v>x</v>
          </cell>
          <cell r="N1759" t="e">
            <v>#N/A</v>
          </cell>
          <cell r="O1759" t="str">
            <v>HD Metal-End Air Filter with Attached Lid</v>
          </cell>
        </row>
        <row r="1760">
          <cell r="K1760" t="str">
            <v>LAF1955</v>
          </cell>
          <cell r="L1760" t="str">
            <v>HD</v>
          </cell>
          <cell r="M1760" t="str">
            <v>x</v>
          </cell>
          <cell r="N1760" t="e">
            <v>#N/A</v>
          </cell>
          <cell r="O1760" t="str">
            <v>HD Metal-End Air Filter</v>
          </cell>
        </row>
        <row r="1761">
          <cell r="K1761" t="str">
            <v>LAF1749</v>
          </cell>
          <cell r="L1761" t="str">
            <v>HD</v>
          </cell>
          <cell r="M1761" t="str">
            <v>x</v>
          </cell>
          <cell r="N1761" t="e">
            <v>#N/A</v>
          </cell>
          <cell r="O1761" t="str">
            <v>HD Metal-End Air Filter</v>
          </cell>
        </row>
        <row r="1762">
          <cell r="K1762" t="str">
            <v>LAF7530</v>
          </cell>
          <cell r="L1762" t="str">
            <v>HD</v>
          </cell>
          <cell r="M1762" t="str">
            <v>x</v>
          </cell>
          <cell r="N1762" t="e">
            <v>#N/A</v>
          </cell>
          <cell r="O1762" t="str">
            <v>Round Inner Air Filter with Flanged Endcap</v>
          </cell>
        </row>
        <row r="1763">
          <cell r="K1763" t="str">
            <v>LAF909</v>
          </cell>
          <cell r="L1763" t="str">
            <v>HD</v>
          </cell>
          <cell r="M1763" t="str">
            <v>x</v>
          </cell>
          <cell r="N1763" t="e">
            <v>#N/A</v>
          </cell>
          <cell r="O1763" t="str">
            <v>Tube Type Air Filter</v>
          </cell>
        </row>
        <row r="1764">
          <cell r="K1764" t="str">
            <v>LAF8820</v>
          </cell>
          <cell r="L1764" t="str">
            <v>HD</v>
          </cell>
          <cell r="M1764" t="str">
            <v>x</v>
          </cell>
          <cell r="N1764" t="e">
            <v>#N/A</v>
          </cell>
          <cell r="O1764" t="str">
            <v>Round Air Filter</v>
          </cell>
        </row>
        <row r="1765">
          <cell r="K1765" t="str">
            <v>L3419F</v>
          </cell>
          <cell r="L1765" t="str">
            <v>HD</v>
          </cell>
          <cell r="M1765" t="str">
            <v>x</v>
          </cell>
          <cell r="N1765" t="e">
            <v>#N/A</v>
          </cell>
          <cell r="O1765" t="str">
            <v>Cartridge Fuel Filter</v>
          </cell>
        </row>
        <row r="1766">
          <cell r="K1766" t="str">
            <v>LAF8547</v>
          </cell>
          <cell r="L1766" t="str">
            <v>HD</v>
          </cell>
          <cell r="M1766" t="str">
            <v>x</v>
          </cell>
          <cell r="N1766" t="e">
            <v>#N/A</v>
          </cell>
          <cell r="O1766" t="str">
            <v>HD Metal-End Inner Air Filter</v>
          </cell>
        </row>
        <row r="1767">
          <cell r="K1767" t="str">
            <v>LAF1759</v>
          </cell>
          <cell r="L1767" t="str">
            <v>HD</v>
          </cell>
          <cell r="M1767" t="str">
            <v>x</v>
          </cell>
          <cell r="N1767" t="e">
            <v>#N/A</v>
          </cell>
          <cell r="O1767" t="str">
            <v>HD Metal-End Inner Air Filter</v>
          </cell>
        </row>
        <row r="1768">
          <cell r="K1768" t="str">
            <v>LAF9961</v>
          </cell>
          <cell r="L1768" t="str">
            <v>HD</v>
          </cell>
          <cell r="M1768" t="str">
            <v>x</v>
          </cell>
          <cell r="N1768" t="e">
            <v>#N/A</v>
          </cell>
          <cell r="O1768" t="str">
            <v>HD Metal-End Air Filter</v>
          </cell>
        </row>
        <row r="1769">
          <cell r="K1769" t="str">
            <v>LFH4968</v>
          </cell>
          <cell r="L1769" t="str">
            <v>HD</v>
          </cell>
          <cell r="M1769" t="str">
            <v>x</v>
          </cell>
          <cell r="N1769" t="e">
            <v>#N/A</v>
          </cell>
          <cell r="O1769" t="str">
            <v>Spin-on Hydraulic Filter</v>
          </cell>
        </row>
        <row r="1770">
          <cell r="K1770" t="str">
            <v>LAF1482</v>
          </cell>
          <cell r="L1770" t="str">
            <v>HD</v>
          </cell>
          <cell r="M1770" t="str">
            <v>x</v>
          </cell>
          <cell r="N1770" t="e">
            <v>#N/A</v>
          </cell>
          <cell r="O1770" t="str">
            <v>Air Filter</v>
          </cell>
        </row>
        <row r="1771">
          <cell r="K1771" t="str">
            <v>LAF8171</v>
          </cell>
          <cell r="L1771" t="str">
            <v>HD</v>
          </cell>
          <cell r="M1771" t="str">
            <v>x</v>
          </cell>
          <cell r="N1771" t="e">
            <v>#N/A</v>
          </cell>
          <cell r="O1771" t="str">
            <v>Metal-End Air Filter with Closed Top End Cap</v>
          </cell>
        </row>
        <row r="1772">
          <cell r="K1772" t="str">
            <v>LFH6201</v>
          </cell>
          <cell r="L1772" t="str">
            <v>HD</v>
          </cell>
          <cell r="M1772" t="str">
            <v>x</v>
          </cell>
          <cell r="N1772" t="e">
            <v>#N/A</v>
          </cell>
          <cell r="O1772" t="str">
            <v>Spin-on Hydraulic Filter</v>
          </cell>
        </row>
        <row r="1773">
          <cell r="K1773" t="str">
            <v>LAF5844</v>
          </cell>
          <cell r="L1773" t="str">
            <v>HD</v>
          </cell>
          <cell r="M1773" t="str">
            <v>x</v>
          </cell>
          <cell r="N1773" t="e">
            <v>#N/A</v>
          </cell>
          <cell r="O1773" t="str">
            <v>Radial Seal Inner Air Filter</v>
          </cell>
        </row>
        <row r="1774">
          <cell r="K1774" t="str">
            <v>LAF8663</v>
          </cell>
          <cell r="L1774" t="str">
            <v>HD</v>
          </cell>
          <cell r="M1774" t="str">
            <v>x</v>
          </cell>
          <cell r="N1774" t="e">
            <v>#N/A</v>
          </cell>
          <cell r="O1774" t="str">
            <v>HD Metal-End Inner Air Filter</v>
          </cell>
        </row>
        <row r="1775">
          <cell r="K1775" t="str">
            <v>FP589F</v>
          </cell>
          <cell r="L1775" t="str">
            <v>HD</v>
          </cell>
          <cell r="M1775" t="str">
            <v>x</v>
          </cell>
          <cell r="N1775" t="e">
            <v>#N/A</v>
          </cell>
          <cell r="O1775" t="str">
            <v>Spin-on Fuel Filter</v>
          </cell>
        </row>
        <row r="1776">
          <cell r="K1776" t="str">
            <v>LFF9003</v>
          </cell>
          <cell r="L1776" t="str">
            <v>HD</v>
          </cell>
          <cell r="M1776" t="str">
            <v>x</v>
          </cell>
          <cell r="N1776" t="e">
            <v>#N/A</v>
          </cell>
          <cell r="O1776" t="str">
            <v>Bowl Style Fuel Water Separator Filter</v>
          </cell>
        </row>
        <row r="1777">
          <cell r="K1777" t="str">
            <v>LAF8639</v>
          </cell>
          <cell r="L1777" t="str">
            <v>HD</v>
          </cell>
          <cell r="M1777" t="str">
            <v>x</v>
          </cell>
          <cell r="N1777" t="e">
            <v>#N/A</v>
          </cell>
          <cell r="O1777" t="str">
            <v>Finned Vane Air Filter</v>
          </cell>
        </row>
        <row r="1778">
          <cell r="K1778" t="str">
            <v>LAF8133</v>
          </cell>
          <cell r="L1778" t="str">
            <v>HD</v>
          </cell>
          <cell r="M1778" t="str">
            <v>x</v>
          </cell>
          <cell r="N1778" t="e">
            <v>#N/A</v>
          </cell>
          <cell r="O1778" t="str">
            <v>HD Metal-End Air Filter</v>
          </cell>
        </row>
        <row r="1779">
          <cell r="K1779" t="str">
            <v>LAF8830</v>
          </cell>
          <cell r="L1779" t="str">
            <v>HD</v>
          </cell>
          <cell r="M1779" t="str">
            <v>x</v>
          </cell>
          <cell r="N1779" t="e">
            <v>#N/A</v>
          </cell>
          <cell r="O1779" t="str">
            <v>HD Round Finned Air Filter with Attached Lid</v>
          </cell>
        </row>
        <row r="1780">
          <cell r="K1780" t="str">
            <v>LAF4156</v>
          </cell>
          <cell r="L1780" t="str">
            <v>HD</v>
          </cell>
          <cell r="M1780" t="str">
            <v>x</v>
          </cell>
          <cell r="N1780" t="str">
            <v>LAF4156</v>
          </cell>
          <cell r="O1780" t="str">
            <v>HD Metal-End Inner Air Filter</v>
          </cell>
        </row>
        <row r="1781">
          <cell r="K1781" t="str">
            <v>LK374T</v>
          </cell>
          <cell r="O1781" t="str">
            <v>Maintenance Kit</v>
          </cell>
        </row>
        <row r="1782">
          <cell r="K1782" t="str">
            <v>LFH8596</v>
          </cell>
          <cell r="L1782" t="str">
            <v>HD</v>
          </cell>
          <cell r="M1782" t="str">
            <v>x</v>
          </cell>
          <cell r="N1782" t="e">
            <v>#N/A</v>
          </cell>
          <cell r="O1782" t="str">
            <v>Spin-on Hydraulic Filter</v>
          </cell>
        </row>
        <row r="1783">
          <cell r="K1783" t="str">
            <v>LFH8758</v>
          </cell>
          <cell r="L1783" t="str">
            <v>HD</v>
          </cell>
          <cell r="M1783" t="str">
            <v>x</v>
          </cell>
          <cell r="N1783" t="e">
            <v>#N/A</v>
          </cell>
          <cell r="O1783" t="str">
            <v>Spin-on Hydraulic Filter</v>
          </cell>
        </row>
        <row r="1784">
          <cell r="K1784" t="str">
            <v>LFF8813</v>
          </cell>
          <cell r="L1784" t="str">
            <v>HD</v>
          </cell>
          <cell r="M1784" t="str">
            <v>x</v>
          </cell>
          <cell r="N1784" t="e">
            <v>#N/A</v>
          </cell>
          <cell r="O1784" t="str">
            <v>Spin-on Fuel Filter</v>
          </cell>
        </row>
        <row r="1785">
          <cell r="K1785" t="str">
            <v>LAF8731</v>
          </cell>
          <cell r="L1785" t="str">
            <v>HD</v>
          </cell>
          <cell r="M1785" t="str">
            <v>x</v>
          </cell>
          <cell r="N1785" t="e">
            <v>#N/A</v>
          </cell>
          <cell r="O1785" t="str">
            <v>Radial Seal Inner Air Filter</v>
          </cell>
        </row>
        <row r="1786">
          <cell r="K1786" t="str">
            <v>LH22123</v>
          </cell>
          <cell r="L1786" t="str">
            <v>HD</v>
          </cell>
          <cell r="M1786" t="str">
            <v>x</v>
          </cell>
          <cell r="N1786" t="e">
            <v>#N/A</v>
          </cell>
          <cell r="O1786" t="str">
            <v>Industrial Cartridge Hydraulic Filter</v>
          </cell>
        </row>
        <row r="1787">
          <cell r="K1787" t="str">
            <v>LAF1815</v>
          </cell>
          <cell r="L1787" t="str">
            <v>HD</v>
          </cell>
          <cell r="M1787" t="str">
            <v>x</v>
          </cell>
          <cell r="N1787" t="e">
            <v>#N/A</v>
          </cell>
          <cell r="O1787" t="str">
            <v>HD Metal-End Air Filter</v>
          </cell>
        </row>
        <row r="1788">
          <cell r="K1788" t="str">
            <v>LAF1857</v>
          </cell>
          <cell r="L1788" t="str">
            <v>HD</v>
          </cell>
          <cell r="M1788" t="str">
            <v>x</v>
          </cell>
          <cell r="N1788" t="e">
            <v>#N/A</v>
          </cell>
          <cell r="O1788" t="str">
            <v>Finned Vane Air Filter</v>
          </cell>
        </row>
        <row r="1789">
          <cell r="K1789" t="str">
            <v>LK298D</v>
          </cell>
          <cell r="L1789" t="str">
            <v>HD</v>
          </cell>
          <cell r="M1789" t="str">
            <v>x</v>
          </cell>
          <cell r="N1789" t="e">
            <v>#N/A</v>
          </cell>
          <cell r="O1789" t="str">
            <v>Detroit Diesel Engine Maintenance Kit</v>
          </cell>
        </row>
        <row r="1790">
          <cell r="K1790" t="str">
            <v>LP8720</v>
          </cell>
          <cell r="L1790" t="str">
            <v>HD</v>
          </cell>
          <cell r="M1790" t="str">
            <v>x</v>
          </cell>
          <cell r="N1790" t="e">
            <v>#N/A</v>
          </cell>
          <cell r="O1790" t="str">
            <v>Cartridge Oil Filter</v>
          </cell>
        </row>
        <row r="1791">
          <cell r="K1791" t="str">
            <v>LP5912</v>
          </cell>
          <cell r="L1791" t="str">
            <v>HD</v>
          </cell>
          <cell r="M1791" t="str">
            <v>x</v>
          </cell>
          <cell r="N1791" t="e">
            <v>#N/A</v>
          </cell>
          <cell r="O1791" t="str">
            <v>Cartridge Oil Filter</v>
          </cell>
        </row>
        <row r="1792">
          <cell r="K1792" t="str">
            <v>L5845F</v>
          </cell>
          <cell r="L1792" t="str">
            <v>HD</v>
          </cell>
          <cell r="M1792" t="str">
            <v>x</v>
          </cell>
          <cell r="N1792" t="e">
            <v>#N/A</v>
          </cell>
          <cell r="O1792" t="str">
            <v>Cartridge Fuel Filter</v>
          </cell>
        </row>
        <row r="1793">
          <cell r="K1793" t="str">
            <v>L1168F</v>
          </cell>
          <cell r="L1793" t="str">
            <v>HD</v>
          </cell>
          <cell r="M1793" t="str">
            <v>x</v>
          </cell>
          <cell r="N1793" t="e">
            <v>#N/A</v>
          </cell>
          <cell r="O1793" t="str">
            <v>Cartridge Fuel Filter</v>
          </cell>
        </row>
        <row r="1794">
          <cell r="K1794" t="str">
            <v>LAF22049</v>
          </cell>
          <cell r="L1794" t="str">
            <v>HD</v>
          </cell>
          <cell r="M1794" t="str">
            <v>x</v>
          </cell>
          <cell r="N1794" t="e">
            <v>#N/A</v>
          </cell>
          <cell r="O1794" t="str">
            <v>Oval Air Filter</v>
          </cell>
        </row>
        <row r="1795">
          <cell r="K1795" t="str">
            <v>LAF3402</v>
          </cell>
          <cell r="L1795" t="str">
            <v>HD</v>
          </cell>
          <cell r="M1795" t="str">
            <v>x</v>
          </cell>
          <cell r="N1795" t="e">
            <v>#N/A</v>
          </cell>
          <cell r="O1795" t="str">
            <v>HD Metal-End Air Filter</v>
          </cell>
        </row>
        <row r="1796">
          <cell r="K1796" t="str">
            <v>LFF762</v>
          </cell>
          <cell r="L1796" t="str">
            <v>HD</v>
          </cell>
          <cell r="M1796" t="str">
            <v>x</v>
          </cell>
          <cell r="N1796" t="e">
            <v>#N/A</v>
          </cell>
          <cell r="O1796" t="str">
            <v>Spin-on Fuel Filter</v>
          </cell>
        </row>
        <row r="1797">
          <cell r="K1797" t="str">
            <v>LAF8039</v>
          </cell>
          <cell r="L1797" t="str">
            <v>HD</v>
          </cell>
          <cell r="M1797" t="str">
            <v>x</v>
          </cell>
          <cell r="N1797" t="e">
            <v>#N/A</v>
          </cell>
          <cell r="O1797" t="str">
            <v>HD Metal-End Air Filter with Attached Lid</v>
          </cell>
        </row>
        <row r="1798">
          <cell r="K1798" t="str">
            <v>LAF9297</v>
          </cell>
          <cell r="L1798" t="str">
            <v>HD</v>
          </cell>
          <cell r="M1798" t="str">
            <v>x</v>
          </cell>
          <cell r="N1798" t="e">
            <v>#N/A</v>
          </cell>
          <cell r="O1798" t="str">
            <v>Metal-End Air Filter with Closed Top End Cap</v>
          </cell>
        </row>
        <row r="1799">
          <cell r="K1799" t="str">
            <v>LH5003</v>
          </cell>
          <cell r="L1799" t="str">
            <v>HD</v>
          </cell>
          <cell r="M1799" t="str">
            <v>x</v>
          </cell>
          <cell r="N1799" t="e">
            <v>#N/A</v>
          </cell>
          <cell r="O1799" t="str">
            <v>Cartridge Hydraulic Filter</v>
          </cell>
        </row>
        <row r="1800">
          <cell r="K1800" t="str">
            <v>LAF8617</v>
          </cell>
          <cell r="L1800" t="str">
            <v>HD</v>
          </cell>
          <cell r="M1800" t="str">
            <v>x</v>
          </cell>
          <cell r="N1800" t="e">
            <v>#N/A</v>
          </cell>
          <cell r="O1800" t="str">
            <v>HD Metal-End Air Filter</v>
          </cell>
        </row>
        <row r="1801">
          <cell r="K1801" t="str">
            <v>LAF4173</v>
          </cell>
          <cell r="L1801" t="str">
            <v>HD</v>
          </cell>
          <cell r="M1801" t="str">
            <v>x</v>
          </cell>
          <cell r="N1801" t="e">
            <v>#N/A</v>
          </cell>
          <cell r="O1801" t="str">
            <v>HD Metal-End Inner Air Filter</v>
          </cell>
        </row>
        <row r="1802">
          <cell r="K1802" t="str">
            <v>LP224</v>
          </cell>
          <cell r="L1802" t="str">
            <v>HD</v>
          </cell>
          <cell r="M1802" t="str">
            <v>x</v>
          </cell>
          <cell r="N1802" t="e">
            <v>#N/A</v>
          </cell>
          <cell r="O1802" t="str">
            <v>Cartridge Oil Filter</v>
          </cell>
        </row>
        <row r="1803">
          <cell r="K1803" t="str">
            <v>LAF8574</v>
          </cell>
          <cell r="L1803" t="str">
            <v>HD</v>
          </cell>
          <cell r="M1803" t="str">
            <v>x</v>
          </cell>
          <cell r="N1803" t="e">
            <v>#N/A</v>
          </cell>
          <cell r="O1803" t="str">
            <v>HD Metal-End Air Filter-Inner</v>
          </cell>
        </row>
        <row r="1804">
          <cell r="K1804" t="str">
            <v>LAF1882</v>
          </cell>
          <cell r="L1804" t="str">
            <v>HD</v>
          </cell>
          <cell r="M1804" t="str">
            <v>x</v>
          </cell>
          <cell r="N1804" t="e">
            <v>#N/A</v>
          </cell>
          <cell r="O1804" t="str">
            <v>HD Metal-End Air Filter</v>
          </cell>
        </row>
        <row r="1805">
          <cell r="K1805" t="str">
            <v>L5944F</v>
          </cell>
          <cell r="L1805" t="str">
            <v>HD</v>
          </cell>
          <cell r="M1805" t="str">
            <v>x</v>
          </cell>
          <cell r="N1805" t="e">
            <v>#N/A</v>
          </cell>
          <cell r="O1805" t="str">
            <v>Cartridge Fuel Filter</v>
          </cell>
        </row>
        <row r="1806">
          <cell r="K1806" t="str">
            <v>LFF6013</v>
          </cell>
          <cell r="L1806" t="str">
            <v>HD</v>
          </cell>
          <cell r="M1806" t="str">
            <v>x</v>
          </cell>
          <cell r="N1806" t="e">
            <v>#N/A</v>
          </cell>
          <cell r="O1806" t="str">
            <v>Fuel Filter Kit Primary/Secondary</v>
          </cell>
        </row>
        <row r="1807">
          <cell r="K1807" t="str">
            <v>LH3042V</v>
          </cell>
          <cell r="L1807" t="str">
            <v>HD</v>
          </cell>
          <cell r="M1807" t="str">
            <v>x</v>
          </cell>
          <cell r="N1807" t="e">
            <v>#N/A</v>
          </cell>
          <cell r="O1807" t="str">
            <v>Cartridge Hydraulic Filter</v>
          </cell>
        </row>
        <row r="1808">
          <cell r="K1808" t="str">
            <v>LFP8320</v>
          </cell>
          <cell r="L1808" t="str">
            <v>HD</v>
          </cell>
          <cell r="M1808" t="str">
            <v>x</v>
          </cell>
          <cell r="N1808" t="e">
            <v>#N/A</v>
          </cell>
          <cell r="O1808" t="str">
            <v>Spin-on Oil Filter</v>
          </cell>
        </row>
        <row r="1809">
          <cell r="K1809" t="str">
            <v>LAF1903</v>
          </cell>
          <cell r="L1809" t="str">
            <v>HD</v>
          </cell>
          <cell r="M1809" t="str">
            <v>x</v>
          </cell>
          <cell r="N1809" t="e">
            <v>#N/A</v>
          </cell>
          <cell r="O1809" t="str">
            <v>Round Plastisol Air Filter</v>
          </cell>
        </row>
        <row r="1810">
          <cell r="K1810" t="str">
            <v>LFH4404</v>
          </cell>
          <cell r="L1810" t="str">
            <v>HD</v>
          </cell>
          <cell r="M1810" t="str">
            <v>x</v>
          </cell>
          <cell r="N1810" t="e">
            <v>#N/A</v>
          </cell>
          <cell r="O1810" t="str">
            <v>Spin-on Hydraulic Filter</v>
          </cell>
        </row>
        <row r="1811">
          <cell r="K1811" t="str">
            <v>L3919F</v>
          </cell>
          <cell r="L1811" t="str">
            <v>HD</v>
          </cell>
          <cell r="M1811" t="str">
            <v>x</v>
          </cell>
          <cell r="N1811" t="e">
            <v>#N/A</v>
          </cell>
          <cell r="O1811" t="str">
            <v>Snap-Lock Fuel Filter</v>
          </cell>
        </row>
        <row r="1812">
          <cell r="K1812" t="str">
            <v>750-C</v>
          </cell>
          <cell r="L1812" t="str">
            <v>HD</v>
          </cell>
          <cell r="M1812" t="str">
            <v>x</v>
          </cell>
          <cell r="N1812" t="e">
            <v>#N/A</v>
          </cell>
          <cell r="O1812" t="str">
            <v>Diesel Unit Universal Mount 750C</v>
          </cell>
        </row>
        <row r="1813">
          <cell r="K1813">
            <v>500</v>
          </cell>
          <cell r="L1813" t="str">
            <v>HD</v>
          </cell>
          <cell r="M1813" t="str">
            <v>x</v>
          </cell>
          <cell r="N1813" t="e">
            <v>#N/A</v>
          </cell>
          <cell r="O1813" t="str">
            <v>Cover w/3 Plug Holes for Horizontal Mount/500-C</v>
          </cell>
        </row>
        <row r="1814">
          <cell r="K1814">
            <v>750</v>
          </cell>
          <cell r="L1814" t="str">
            <v>HD</v>
          </cell>
          <cell r="M1814" t="str">
            <v>x</v>
          </cell>
          <cell r="N1814" t="e">
            <v>#N/A</v>
          </cell>
          <cell r="O1814" t="str">
            <v>Cover w/1 Plug Hole, 750-C, CT, 3C</v>
          </cell>
        </row>
        <row r="1815">
          <cell r="K1815" t="str">
            <v>LAF8670</v>
          </cell>
          <cell r="L1815" t="str">
            <v>HD</v>
          </cell>
          <cell r="M1815" t="str">
            <v>x</v>
          </cell>
          <cell r="N1815" t="e">
            <v>#N/A</v>
          </cell>
          <cell r="O1815" t="str">
            <v>Radial Seal Inner Air Filter</v>
          </cell>
        </row>
        <row r="1816">
          <cell r="K1816" t="str">
            <v>LAF5343</v>
          </cell>
          <cell r="L1816" t="str">
            <v>HD</v>
          </cell>
          <cell r="M1816" t="str">
            <v>x</v>
          </cell>
          <cell r="N1816" t="e">
            <v>#N/A</v>
          </cell>
          <cell r="O1816" t="str">
            <v>Panel Air Filter Metal Framed</v>
          </cell>
        </row>
        <row r="1817">
          <cell r="K1817" t="str">
            <v>LH8488</v>
          </cell>
          <cell r="L1817" t="str">
            <v>HD</v>
          </cell>
          <cell r="M1817" t="str">
            <v>x</v>
          </cell>
          <cell r="N1817" t="e">
            <v>#N/A</v>
          </cell>
          <cell r="O1817" t="str">
            <v>Hydraulic Cartridge Filter</v>
          </cell>
        </row>
        <row r="1818">
          <cell r="K1818" t="str">
            <v>LAF45</v>
          </cell>
          <cell r="L1818" t="str">
            <v>HD</v>
          </cell>
          <cell r="M1818" t="str">
            <v>x</v>
          </cell>
          <cell r="N1818" t="e">
            <v>#N/A</v>
          </cell>
          <cell r="O1818" t="str">
            <v>HD Metal-End Air Filter</v>
          </cell>
        </row>
        <row r="1819">
          <cell r="K1819" t="str">
            <v>LAF8810</v>
          </cell>
          <cell r="L1819" t="str">
            <v>HD</v>
          </cell>
          <cell r="M1819" t="str">
            <v>x</v>
          </cell>
          <cell r="N1819" t="str">
            <v>LAF8810</v>
          </cell>
          <cell r="O1819" t="str">
            <v>Disposible Housing Air Filter</v>
          </cell>
        </row>
        <row r="1820">
          <cell r="K1820" t="str">
            <v>LAF1923</v>
          </cell>
          <cell r="L1820" t="str">
            <v>HD</v>
          </cell>
          <cell r="M1820" t="str">
            <v>x</v>
          </cell>
          <cell r="N1820" t="e">
            <v>#N/A</v>
          </cell>
          <cell r="O1820" t="str">
            <v>HD Metal-End Air Filter-Inner</v>
          </cell>
        </row>
        <row r="1821">
          <cell r="K1821" t="str">
            <v>LH4918</v>
          </cell>
          <cell r="L1821" t="str">
            <v>HD</v>
          </cell>
          <cell r="M1821" t="str">
            <v>x</v>
          </cell>
          <cell r="N1821" t="e">
            <v>#N/A</v>
          </cell>
          <cell r="O1821" t="str">
            <v>Cartridge Hydraulic Filter</v>
          </cell>
        </row>
        <row r="1822">
          <cell r="K1822" t="str">
            <v>LH9403V</v>
          </cell>
          <cell r="L1822" t="str">
            <v>HD</v>
          </cell>
          <cell r="M1822" t="str">
            <v>x</v>
          </cell>
          <cell r="N1822" t="e">
            <v>#N/A</v>
          </cell>
          <cell r="O1822" t="str">
            <v>Industrial Cartridge Hydraulic Filter</v>
          </cell>
        </row>
        <row r="1823">
          <cell r="K1823" t="str">
            <v>LAF1802</v>
          </cell>
          <cell r="L1823" t="str">
            <v>HD</v>
          </cell>
          <cell r="M1823" t="str">
            <v>x</v>
          </cell>
          <cell r="N1823" t="e">
            <v>#N/A</v>
          </cell>
          <cell r="O1823" t="str">
            <v>Cone Shaped Conical Air Filter</v>
          </cell>
        </row>
        <row r="1824">
          <cell r="K1824" t="str">
            <v>LP712</v>
          </cell>
          <cell r="L1824" t="str">
            <v>HD</v>
          </cell>
          <cell r="M1824" t="str">
            <v>x</v>
          </cell>
          <cell r="N1824" t="e">
            <v>#N/A</v>
          </cell>
          <cell r="O1824" t="str">
            <v>Cartridge Oil Filter</v>
          </cell>
        </row>
        <row r="1825">
          <cell r="K1825" t="str">
            <v>LAF262</v>
          </cell>
          <cell r="L1825" t="str">
            <v>HD</v>
          </cell>
          <cell r="M1825" t="str">
            <v>x</v>
          </cell>
          <cell r="N1825" t="e">
            <v>#N/A</v>
          </cell>
          <cell r="O1825" t="str">
            <v>HD Metal-End Air Filter</v>
          </cell>
        </row>
        <row r="1826">
          <cell r="K1826" t="str">
            <v>LAF8339</v>
          </cell>
          <cell r="L1826" t="str">
            <v>HD</v>
          </cell>
          <cell r="M1826" t="str">
            <v>x</v>
          </cell>
          <cell r="N1826" t="e">
            <v>#N/A</v>
          </cell>
          <cell r="O1826" t="str">
            <v>HD Metal-End Inner Air Filter</v>
          </cell>
        </row>
        <row r="1827">
          <cell r="K1827" t="str">
            <v>LAF2484</v>
          </cell>
          <cell r="L1827" t="str">
            <v>HD</v>
          </cell>
          <cell r="M1827" t="str">
            <v>x</v>
          </cell>
          <cell r="N1827" t="e">
            <v>#N/A</v>
          </cell>
          <cell r="O1827" t="str">
            <v>HD Metal-End Air Filter</v>
          </cell>
        </row>
        <row r="1828">
          <cell r="K1828" t="str">
            <v>LP92HD</v>
          </cell>
          <cell r="L1828" t="str">
            <v>HD</v>
          </cell>
          <cell r="M1828" t="str">
            <v>x</v>
          </cell>
          <cell r="N1828" t="e">
            <v>#N/A</v>
          </cell>
          <cell r="O1828" t="str">
            <v>Cartridge Oil Filter</v>
          </cell>
        </row>
        <row r="1829">
          <cell r="K1829" t="str">
            <v>LAF8238</v>
          </cell>
          <cell r="L1829" t="str">
            <v>HD</v>
          </cell>
          <cell r="M1829" t="str">
            <v>x</v>
          </cell>
          <cell r="N1829" t="e">
            <v>#N/A</v>
          </cell>
          <cell r="O1829" t="str">
            <v>HD Metal-End Inner Air Filter</v>
          </cell>
        </row>
        <row r="1830">
          <cell r="K1830" t="str">
            <v>LAF3119</v>
          </cell>
          <cell r="L1830" t="str">
            <v>HD</v>
          </cell>
          <cell r="M1830" t="str">
            <v>x</v>
          </cell>
          <cell r="N1830" t="e">
            <v>#N/A</v>
          </cell>
          <cell r="O1830" t="str">
            <v>HD Metal-End Air Filter</v>
          </cell>
        </row>
        <row r="1831">
          <cell r="K1831" t="str">
            <v>LAF8802</v>
          </cell>
          <cell r="L1831" t="str">
            <v>HD</v>
          </cell>
          <cell r="M1831" t="str">
            <v>x</v>
          </cell>
          <cell r="N1831" t="e">
            <v>#N/A</v>
          </cell>
          <cell r="O1831" t="str">
            <v>Finned Vane Air Filter With Attached Lid</v>
          </cell>
        </row>
        <row r="1832">
          <cell r="K1832" t="str">
            <v>L899BSP</v>
          </cell>
          <cell r="L1832" t="str">
            <v>HD</v>
          </cell>
          <cell r="M1832" t="str">
            <v>x</v>
          </cell>
          <cell r="N1832" t="e">
            <v>#N/A</v>
          </cell>
          <cell r="O1832" t="str">
            <v>Racor INRK-21057; Glass bowl w/Sensor used on LFF5824B and LF3579.</v>
          </cell>
        </row>
        <row r="1833">
          <cell r="K1833" t="str">
            <v>LAF2753</v>
          </cell>
          <cell r="L1833" t="str">
            <v>HD</v>
          </cell>
          <cell r="M1833" t="str">
            <v>x</v>
          </cell>
          <cell r="N1833" t="e">
            <v>#N/A</v>
          </cell>
          <cell r="O1833" t="str">
            <v>Oval Air Filter</v>
          </cell>
        </row>
        <row r="1834">
          <cell r="K1834" t="str">
            <v>LAF5785</v>
          </cell>
          <cell r="L1834" t="str">
            <v>HD</v>
          </cell>
          <cell r="M1834" t="str">
            <v>x</v>
          </cell>
          <cell r="N1834" t="e">
            <v>#N/A</v>
          </cell>
          <cell r="O1834" t="str">
            <v>HD Round Finned Air Filter with Attached Lid</v>
          </cell>
        </row>
        <row r="1835">
          <cell r="K1835" t="str">
            <v>LAF8829</v>
          </cell>
          <cell r="L1835" t="str">
            <v>HD</v>
          </cell>
          <cell r="M1835" t="str">
            <v>x</v>
          </cell>
          <cell r="N1835" t="e">
            <v>#N/A</v>
          </cell>
          <cell r="O1835" t="str">
            <v>HD Round Finned Air Filter with Attached Lid</v>
          </cell>
        </row>
        <row r="1836">
          <cell r="K1836" t="str">
            <v>LAF2736</v>
          </cell>
          <cell r="L1836" t="str">
            <v>HD</v>
          </cell>
          <cell r="M1836" t="str">
            <v>x</v>
          </cell>
          <cell r="N1836" t="e">
            <v>#N/A</v>
          </cell>
          <cell r="O1836" t="str">
            <v>HD Metal-End Inner Air Filter</v>
          </cell>
        </row>
        <row r="1837">
          <cell r="K1837" t="str">
            <v>LAF1729</v>
          </cell>
          <cell r="L1837" t="str">
            <v>HD</v>
          </cell>
          <cell r="M1837" t="str">
            <v>x</v>
          </cell>
          <cell r="N1837" t="e">
            <v>#N/A</v>
          </cell>
          <cell r="O1837" t="str">
            <v>HD Metal-End Air Filter</v>
          </cell>
        </row>
        <row r="1838">
          <cell r="K1838" t="str">
            <v>LAF41</v>
          </cell>
          <cell r="L1838" t="str">
            <v>HD</v>
          </cell>
          <cell r="M1838" t="str">
            <v>x</v>
          </cell>
          <cell r="N1838" t="e">
            <v>#N/A</v>
          </cell>
          <cell r="O1838" t="str">
            <v>HD Metal-End Air Filter</v>
          </cell>
        </row>
        <row r="1839">
          <cell r="K1839" t="str">
            <v>LAF1773</v>
          </cell>
          <cell r="L1839" t="str">
            <v>HD</v>
          </cell>
          <cell r="M1839" t="str">
            <v>x</v>
          </cell>
          <cell r="N1839" t="e">
            <v>#N/A</v>
          </cell>
          <cell r="O1839" t="str">
            <v>HD Metal-End Air Filter</v>
          </cell>
        </row>
        <row r="1840">
          <cell r="K1840" t="str">
            <v>LP155</v>
          </cell>
          <cell r="L1840" t="str">
            <v>HD</v>
          </cell>
          <cell r="M1840" t="str">
            <v>x</v>
          </cell>
          <cell r="N1840" t="e">
            <v>#N/A</v>
          </cell>
          <cell r="O1840" t="str">
            <v>Cartridge Oil Filter</v>
          </cell>
        </row>
        <row r="1841">
          <cell r="K1841" t="str">
            <v>LP4458</v>
          </cell>
          <cell r="L1841" t="str">
            <v>HD</v>
          </cell>
          <cell r="M1841" t="str">
            <v>x</v>
          </cell>
          <cell r="N1841" t="e">
            <v>#N/A</v>
          </cell>
          <cell r="O1841" t="str">
            <v>Cartridge Hydraulic Filter</v>
          </cell>
        </row>
        <row r="1842">
          <cell r="K1842" t="str">
            <v>LH22119</v>
          </cell>
          <cell r="L1842" t="str">
            <v>HD</v>
          </cell>
          <cell r="M1842" t="str">
            <v>x</v>
          </cell>
          <cell r="N1842" t="e">
            <v>#N/A</v>
          </cell>
          <cell r="O1842" t="str">
            <v>Cartridge Hydraulic Filter</v>
          </cell>
        </row>
        <row r="1843">
          <cell r="K1843" t="str">
            <v>LAF910</v>
          </cell>
          <cell r="L1843" t="str">
            <v>HD</v>
          </cell>
          <cell r="M1843" t="str">
            <v>x</v>
          </cell>
          <cell r="N1843" t="e">
            <v>#N/A</v>
          </cell>
          <cell r="O1843" t="str">
            <v>Round Air Filter</v>
          </cell>
        </row>
        <row r="1844">
          <cell r="K1844" t="str">
            <v>LAF8767</v>
          </cell>
          <cell r="L1844" t="str">
            <v>HD</v>
          </cell>
          <cell r="M1844" t="str">
            <v>x</v>
          </cell>
          <cell r="N1844" t="e">
            <v>#N/A</v>
          </cell>
          <cell r="O1844" t="str">
            <v>HD Round Air Filter with Attached Boot</v>
          </cell>
        </row>
        <row r="1845">
          <cell r="K1845" t="str">
            <v>LAF1806</v>
          </cell>
          <cell r="L1845" t="str">
            <v>HD</v>
          </cell>
          <cell r="M1845" t="str">
            <v>x</v>
          </cell>
          <cell r="N1845" t="e">
            <v>#N/A</v>
          </cell>
          <cell r="O1845" t="str">
            <v>Metal-End Air Filter with Closed Top End Cap</v>
          </cell>
        </row>
        <row r="1846">
          <cell r="K1846" t="str">
            <v>LAF9541</v>
          </cell>
          <cell r="L1846" t="str">
            <v>HD</v>
          </cell>
          <cell r="M1846" t="str">
            <v>x</v>
          </cell>
          <cell r="N1846" t="e">
            <v>#N/A</v>
          </cell>
          <cell r="O1846" t="str">
            <v>Disposible Housing Air Filter</v>
          </cell>
        </row>
        <row r="1847">
          <cell r="K1847" t="str">
            <v>LP2302</v>
          </cell>
          <cell r="L1847" t="str">
            <v>HD</v>
          </cell>
          <cell r="M1847" t="str">
            <v>x</v>
          </cell>
          <cell r="N1847" t="str">
            <v>LP2302</v>
          </cell>
          <cell r="O1847" t="str">
            <v>Cartridge Hydraulic Filter</v>
          </cell>
        </row>
        <row r="1848">
          <cell r="K1848" t="str">
            <v>LAF8363</v>
          </cell>
          <cell r="L1848" t="str">
            <v>HD</v>
          </cell>
          <cell r="M1848" t="str">
            <v>x</v>
          </cell>
          <cell r="N1848" t="e">
            <v>#N/A</v>
          </cell>
          <cell r="O1848" t="str">
            <v>Panel Air Filter Metal Framed</v>
          </cell>
        </row>
        <row r="1849">
          <cell r="K1849" t="str">
            <v>LAF1767</v>
          </cell>
          <cell r="L1849" t="str">
            <v>HD</v>
          </cell>
          <cell r="M1849" t="str">
            <v>x</v>
          </cell>
          <cell r="N1849" t="e">
            <v>#N/A</v>
          </cell>
          <cell r="O1849" t="str">
            <v>HD Metal-End Inner Air Filter</v>
          </cell>
        </row>
        <row r="1850">
          <cell r="K1850" t="str">
            <v>LP8993</v>
          </cell>
          <cell r="L1850" t="str">
            <v>HD</v>
          </cell>
          <cell r="M1850" t="str">
            <v>x</v>
          </cell>
          <cell r="N1850" t="e">
            <v>#N/A</v>
          </cell>
          <cell r="O1850" t="str">
            <v>Cartridge Oil Filter</v>
          </cell>
        </row>
        <row r="1851">
          <cell r="K1851" t="str">
            <v>LAF22090</v>
          </cell>
          <cell r="L1851" t="str">
            <v>HD</v>
          </cell>
          <cell r="M1851" t="str">
            <v>x</v>
          </cell>
          <cell r="N1851" t="e">
            <v>#N/A</v>
          </cell>
          <cell r="O1851" t="str">
            <v>HD Metal-End Air Filter</v>
          </cell>
        </row>
        <row r="1852">
          <cell r="K1852" t="str">
            <v>LAF8354</v>
          </cell>
          <cell r="L1852" t="str">
            <v>HD</v>
          </cell>
          <cell r="M1852" t="str">
            <v>x</v>
          </cell>
          <cell r="N1852" t="e">
            <v>#N/A</v>
          </cell>
          <cell r="O1852" t="str">
            <v>HD Metal-End Air Filter-Inner</v>
          </cell>
        </row>
        <row r="1853">
          <cell r="K1853" t="str">
            <v>LFP8224</v>
          </cell>
          <cell r="L1853" t="str">
            <v>HD</v>
          </cell>
          <cell r="M1853" t="str">
            <v>x</v>
          </cell>
          <cell r="N1853" t="e">
            <v>#N/A</v>
          </cell>
          <cell r="O1853" t="str">
            <v>Spin-on Oil Filter</v>
          </cell>
        </row>
        <row r="1854">
          <cell r="K1854" t="str">
            <v>LAF519D</v>
          </cell>
          <cell r="L1854" t="str">
            <v>HD</v>
          </cell>
          <cell r="M1854" t="str">
            <v>x</v>
          </cell>
          <cell r="N1854" t="e">
            <v>#N/A</v>
          </cell>
          <cell r="O1854" t="str">
            <v>Rigid Panel Air Filter</v>
          </cell>
        </row>
        <row r="1855">
          <cell r="K1855" t="str">
            <v>LP5922</v>
          </cell>
          <cell r="L1855" t="str">
            <v>HD</v>
          </cell>
          <cell r="M1855" t="str">
            <v>x</v>
          </cell>
          <cell r="N1855" t="e">
            <v>#N/A</v>
          </cell>
          <cell r="O1855" t="str">
            <v>Cartridge Oil Filter</v>
          </cell>
        </row>
        <row r="1856">
          <cell r="K1856" t="str">
            <v>LAF1710</v>
          </cell>
          <cell r="L1856" t="str">
            <v>HD</v>
          </cell>
          <cell r="M1856" t="str">
            <v>x</v>
          </cell>
          <cell r="N1856" t="e">
            <v>#N/A</v>
          </cell>
          <cell r="O1856" t="str">
            <v>HD Metal-End Air Filter</v>
          </cell>
        </row>
        <row r="1857">
          <cell r="K1857" t="str">
            <v>LH5571G</v>
          </cell>
          <cell r="L1857" t="str">
            <v>HD</v>
          </cell>
          <cell r="M1857" t="str">
            <v>x</v>
          </cell>
          <cell r="N1857" t="e">
            <v>#N/A</v>
          </cell>
          <cell r="O1857" t="str">
            <v>Cartridge Hydraulic Filter</v>
          </cell>
        </row>
        <row r="1858">
          <cell r="K1858" t="str">
            <v>LAF3953</v>
          </cell>
          <cell r="L1858" t="str">
            <v>HD</v>
          </cell>
          <cell r="M1858" t="str">
            <v>x</v>
          </cell>
          <cell r="N1858" t="e">
            <v>#N/A</v>
          </cell>
          <cell r="O1858" t="str">
            <v>HD Metal-End Air Filter</v>
          </cell>
        </row>
        <row r="1859">
          <cell r="K1859" t="str">
            <v>LH11008V</v>
          </cell>
          <cell r="L1859" t="str">
            <v>HD</v>
          </cell>
          <cell r="M1859" t="str">
            <v>x</v>
          </cell>
          <cell r="N1859" t="e">
            <v>#N/A</v>
          </cell>
          <cell r="O1859" t="str">
            <v>Industrial Cartridge Hydraulic Filter</v>
          </cell>
        </row>
        <row r="1860">
          <cell r="K1860" t="str">
            <v>LAF1974</v>
          </cell>
          <cell r="L1860" t="str">
            <v>HD</v>
          </cell>
          <cell r="M1860" t="str">
            <v>x</v>
          </cell>
          <cell r="N1860" t="e">
            <v>#N/A</v>
          </cell>
          <cell r="O1860" t="str">
            <v>Round Air Filter</v>
          </cell>
        </row>
        <row r="1861">
          <cell r="K1861" t="str">
            <v>LK3M</v>
          </cell>
          <cell r="L1861" t="str">
            <v>HD</v>
          </cell>
          <cell r="M1861" t="str">
            <v>x</v>
          </cell>
          <cell r="N1861" t="e">
            <v>#N/A</v>
          </cell>
          <cell r="O1861" t="str">
            <v>Mack Engine Maintenance Kit</v>
          </cell>
        </row>
        <row r="1862">
          <cell r="K1862" t="str">
            <v>LAF4162</v>
          </cell>
          <cell r="L1862" t="str">
            <v>HD</v>
          </cell>
          <cell r="M1862" t="str">
            <v>x</v>
          </cell>
          <cell r="N1862" t="e">
            <v>#N/A</v>
          </cell>
          <cell r="O1862" t="str">
            <v>Disposible Housing Air Filter</v>
          </cell>
        </row>
        <row r="1863">
          <cell r="K1863" t="str">
            <v>LH4930</v>
          </cell>
          <cell r="L1863" t="str">
            <v>HD</v>
          </cell>
          <cell r="M1863" t="str">
            <v>x</v>
          </cell>
          <cell r="N1863" t="e">
            <v>#N/A</v>
          </cell>
          <cell r="O1863" t="str">
            <v>Cartridge Hydraulic Filter</v>
          </cell>
        </row>
        <row r="1864">
          <cell r="K1864" t="str">
            <v>LAF3902</v>
          </cell>
          <cell r="L1864" t="str">
            <v>HD</v>
          </cell>
          <cell r="M1864" t="str">
            <v>x</v>
          </cell>
          <cell r="N1864" t="e">
            <v>#N/A</v>
          </cell>
          <cell r="O1864" t="str">
            <v>Round Inner Air Filter with Flanged Endcap</v>
          </cell>
        </row>
        <row r="1865">
          <cell r="K1865" t="str">
            <v>LK317C</v>
          </cell>
          <cell r="L1865" t="str">
            <v>HD</v>
          </cell>
          <cell r="M1865" t="str">
            <v>x</v>
          </cell>
          <cell r="N1865" t="e">
            <v>#N/A</v>
          </cell>
          <cell r="O1865" t="str">
            <v>Cummins Engine Maintenance Kit</v>
          </cell>
        </row>
        <row r="1866">
          <cell r="K1866" t="str">
            <v>LP38</v>
          </cell>
          <cell r="L1866" t="str">
            <v>HD</v>
          </cell>
          <cell r="M1866" t="str">
            <v>x</v>
          </cell>
          <cell r="N1866" t="e">
            <v>#N/A</v>
          </cell>
          <cell r="O1866" t="str">
            <v>Cartridge Oil Filter</v>
          </cell>
        </row>
        <row r="1867">
          <cell r="K1867" t="str">
            <v>LH4949</v>
          </cell>
          <cell r="L1867" t="str">
            <v>HD</v>
          </cell>
          <cell r="M1867" t="str">
            <v>x</v>
          </cell>
          <cell r="N1867" t="e">
            <v>#N/A</v>
          </cell>
          <cell r="O1867" t="str">
            <v>Cartridge Hydraulic Filter</v>
          </cell>
        </row>
        <row r="1868">
          <cell r="K1868">
            <v>700</v>
          </cell>
          <cell r="L1868" t="str">
            <v>HD</v>
          </cell>
          <cell r="M1868" t="str">
            <v>x</v>
          </cell>
          <cell r="N1868" t="e">
            <v>#N/A</v>
          </cell>
          <cell r="O1868" t="str">
            <v>Oliver K-5507, M-5507, 1K-5507, 1M-5507, 100125A; Oliver, Waukesha</v>
          </cell>
        </row>
        <row r="1869">
          <cell r="K1869" t="str">
            <v>LAF8407MXM</v>
          </cell>
          <cell r="L1869" t="str">
            <v>HD</v>
          </cell>
          <cell r="M1869" t="str">
            <v>x</v>
          </cell>
          <cell r="N1869" t="e">
            <v>#N/A</v>
          </cell>
          <cell r="O1869" t="str">
            <v xml:space="preserve">Nano Tech Air Filter HD Metal-End </v>
          </cell>
        </row>
        <row r="1870">
          <cell r="K1870" t="str">
            <v>LFP8230</v>
          </cell>
          <cell r="L1870" t="str">
            <v>HD</v>
          </cell>
          <cell r="M1870" t="str">
            <v>x</v>
          </cell>
          <cell r="N1870" t="e">
            <v>#N/A</v>
          </cell>
          <cell r="O1870" t="str">
            <v>Spin-on Oil Filter</v>
          </cell>
        </row>
        <row r="1871">
          <cell r="K1871" t="str">
            <v>L8188F</v>
          </cell>
          <cell r="L1871" t="str">
            <v>HD</v>
          </cell>
          <cell r="M1871" t="str">
            <v>x</v>
          </cell>
          <cell r="N1871" t="e">
            <v>#N/A</v>
          </cell>
          <cell r="O1871" t="str">
            <v>Cartridge Fuel Filter</v>
          </cell>
        </row>
        <row r="1872">
          <cell r="K1872" t="str">
            <v>LAF5298</v>
          </cell>
          <cell r="L1872" t="str">
            <v>HD</v>
          </cell>
          <cell r="M1872" t="str">
            <v>x</v>
          </cell>
          <cell r="N1872" t="e">
            <v>#N/A</v>
          </cell>
          <cell r="O1872" t="str">
            <v>Corrugated Media Air Filter</v>
          </cell>
        </row>
        <row r="1873">
          <cell r="K1873" t="str">
            <v>LFP2270</v>
          </cell>
          <cell r="L1873" t="str">
            <v>HD</v>
          </cell>
          <cell r="M1873" t="str">
            <v>x</v>
          </cell>
          <cell r="N1873" t="e">
            <v>#N/A</v>
          </cell>
          <cell r="O1873" t="str">
            <v>Spin-on Oil Filter</v>
          </cell>
        </row>
        <row r="1874">
          <cell r="K1874" t="str">
            <v>LAF1953MXM</v>
          </cell>
          <cell r="L1874" t="str">
            <v>HD</v>
          </cell>
          <cell r="M1874" t="str">
            <v>x</v>
          </cell>
          <cell r="N1874" t="e">
            <v>#N/A</v>
          </cell>
          <cell r="O1874" t="str">
            <v>Nano Tech HD Metal-End Air Filter Outer</v>
          </cell>
        </row>
        <row r="1875">
          <cell r="K1875" t="str">
            <v>LFP5925</v>
          </cell>
          <cell r="L1875" t="str">
            <v>HD</v>
          </cell>
          <cell r="M1875" t="str">
            <v>x</v>
          </cell>
          <cell r="N1875" t="e">
            <v>#N/A</v>
          </cell>
          <cell r="O1875" t="str">
            <v>Spin-on Oil Filter</v>
          </cell>
        </row>
        <row r="1876">
          <cell r="K1876" t="str">
            <v>LAF9086MXM</v>
          </cell>
          <cell r="L1876" t="str">
            <v>HD</v>
          </cell>
          <cell r="M1876" t="str">
            <v>x</v>
          </cell>
          <cell r="N1876" t="e">
            <v>#N/A</v>
          </cell>
          <cell r="O1876" t="str">
            <v xml:space="preserve">Nano Tech Air Filter HD Metal-End </v>
          </cell>
        </row>
        <row r="1877">
          <cell r="K1877" t="str">
            <v>LP2214</v>
          </cell>
          <cell r="L1877" t="str">
            <v>HD</v>
          </cell>
          <cell r="M1877" t="str">
            <v>x</v>
          </cell>
          <cell r="N1877" t="e">
            <v>#N/A</v>
          </cell>
          <cell r="O1877" t="str">
            <v>Cartridge Oil Filter</v>
          </cell>
        </row>
        <row r="1878">
          <cell r="K1878" t="str">
            <v>LAF5526</v>
          </cell>
          <cell r="L1878" t="str">
            <v>HD</v>
          </cell>
          <cell r="M1878" t="str">
            <v>x</v>
          </cell>
          <cell r="N1878" t="e">
            <v>#N/A</v>
          </cell>
          <cell r="O1878" t="str">
            <v>HD Metal-End Inner Air Filter</v>
          </cell>
        </row>
        <row r="1879">
          <cell r="K1879" t="str">
            <v>LH5181V</v>
          </cell>
          <cell r="L1879" t="str">
            <v>HD</v>
          </cell>
          <cell r="M1879" t="str">
            <v>x</v>
          </cell>
          <cell r="N1879" t="e">
            <v>#N/A</v>
          </cell>
          <cell r="O1879" t="str">
            <v>Industrial Cartridge Hydraulic Filter</v>
          </cell>
        </row>
        <row r="1880">
          <cell r="K1880" t="str">
            <v>LAF3865</v>
          </cell>
          <cell r="L1880" t="str">
            <v>HD</v>
          </cell>
          <cell r="M1880" t="str">
            <v>x</v>
          </cell>
          <cell r="N1880" t="e">
            <v>#N/A</v>
          </cell>
          <cell r="O1880" t="str">
            <v>Radial Seal Inner Air Filter</v>
          </cell>
        </row>
        <row r="1881">
          <cell r="K1881" t="str">
            <v>LK253M</v>
          </cell>
          <cell r="L1881" t="str">
            <v>HD</v>
          </cell>
          <cell r="M1881" t="str">
            <v>x</v>
          </cell>
          <cell r="N1881" t="e">
            <v>#N/A</v>
          </cell>
          <cell r="O1881" t="str">
            <v>Mack Engine Maintenance Kit</v>
          </cell>
        </row>
        <row r="1882">
          <cell r="K1882" t="str">
            <v>LAF1481</v>
          </cell>
          <cell r="L1882" t="str">
            <v>HD</v>
          </cell>
          <cell r="M1882" t="str">
            <v>x</v>
          </cell>
          <cell r="N1882" t="e">
            <v>#N/A</v>
          </cell>
          <cell r="O1882" t="str">
            <v>HD Metal-End Air Filter</v>
          </cell>
        </row>
        <row r="1883">
          <cell r="K1883" t="str">
            <v>LAF9237</v>
          </cell>
          <cell r="L1883" t="str">
            <v>HD</v>
          </cell>
          <cell r="M1883" t="str">
            <v>x</v>
          </cell>
          <cell r="N1883" t="e">
            <v>#N/A</v>
          </cell>
          <cell r="O1883" t="str">
            <v>HD Metal-End Air Filter with Attached Lid</v>
          </cell>
        </row>
        <row r="1884">
          <cell r="K1884" t="str">
            <v>LAF1212</v>
          </cell>
          <cell r="L1884" t="str">
            <v>HD</v>
          </cell>
          <cell r="M1884" t="str">
            <v>x</v>
          </cell>
          <cell r="N1884" t="e">
            <v>#N/A</v>
          </cell>
          <cell r="O1884" t="str">
            <v>Tube Type Air Filter</v>
          </cell>
        </row>
        <row r="1885">
          <cell r="K1885" t="str">
            <v>LFP55</v>
          </cell>
          <cell r="L1885" t="str">
            <v>HD</v>
          </cell>
          <cell r="M1885" t="str">
            <v>x</v>
          </cell>
          <cell r="N1885" t="e">
            <v>#N/A</v>
          </cell>
          <cell r="O1885" t="str">
            <v>Spin-on Oil Filter</v>
          </cell>
        </row>
        <row r="1886">
          <cell r="K1886" t="str">
            <v>LAF8878</v>
          </cell>
          <cell r="L1886" t="str">
            <v>HD</v>
          </cell>
          <cell r="M1886" t="str">
            <v>x</v>
          </cell>
          <cell r="N1886" t="e">
            <v>#N/A</v>
          </cell>
          <cell r="O1886" t="str">
            <v>Radial Seal Outer Air Filter</v>
          </cell>
        </row>
        <row r="1887">
          <cell r="K1887" t="str">
            <v>LAF1872</v>
          </cell>
          <cell r="L1887" t="str">
            <v>HD</v>
          </cell>
          <cell r="M1887" t="str">
            <v>x</v>
          </cell>
          <cell r="N1887" t="e">
            <v>#N/A</v>
          </cell>
          <cell r="O1887" t="str">
            <v>Panel Air Filter Metal Framed</v>
          </cell>
        </row>
        <row r="1888">
          <cell r="K1888" t="str">
            <v>LAF2517</v>
          </cell>
          <cell r="L1888" t="str">
            <v>HD</v>
          </cell>
          <cell r="M1888" t="str">
            <v>x</v>
          </cell>
          <cell r="N1888" t="e">
            <v>#N/A</v>
          </cell>
          <cell r="O1888" t="str">
            <v>Round Inner Air Filter</v>
          </cell>
        </row>
        <row r="1889">
          <cell r="K1889" t="str">
            <v>LAF8560</v>
          </cell>
          <cell r="L1889" t="str">
            <v>HD</v>
          </cell>
          <cell r="M1889" t="str">
            <v>x</v>
          </cell>
          <cell r="N1889" t="e">
            <v>#N/A</v>
          </cell>
          <cell r="O1889" t="str">
            <v>HD Metal-End Air Filter-Inner</v>
          </cell>
        </row>
        <row r="1890">
          <cell r="K1890" t="str">
            <v>LAF4445</v>
          </cell>
          <cell r="L1890" t="str">
            <v>HD</v>
          </cell>
          <cell r="M1890" t="str">
            <v>x</v>
          </cell>
          <cell r="N1890" t="e">
            <v>#N/A</v>
          </cell>
          <cell r="O1890" t="str">
            <v>HD Metal-End Air Filter with Attached Lid</v>
          </cell>
        </row>
        <row r="1891">
          <cell r="K1891" t="str">
            <v>LAF2183A</v>
          </cell>
          <cell r="L1891" t="str">
            <v>HD</v>
          </cell>
          <cell r="M1891" t="str">
            <v>x</v>
          </cell>
          <cell r="N1891" t="e">
            <v>#N/A</v>
          </cell>
          <cell r="O1891" t="str">
            <v>HD Metal-End Air Filter</v>
          </cell>
        </row>
        <row r="1892">
          <cell r="K1892" t="str">
            <v>LAF268</v>
          </cell>
          <cell r="L1892" t="str">
            <v>HD</v>
          </cell>
          <cell r="M1892" t="str">
            <v>x</v>
          </cell>
          <cell r="N1892" t="e">
            <v>#N/A</v>
          </cell>
          <cell r="O1892" t="str">
            <v>HD Metal-End Air Filter</v>
          </cell>
        </row>
        <row r="1893">
          <cell r="K1893" t="str">
            <v>LK182C</v>
          </cell>
          <cell r="L1893" t="str">
            <v>HD</v>
          </cell>
          <cell r="M1893" t="str">
            <v>x</v>
          </cell>
          <cell r="N1893" t="e">
            <v>#N/A</v>
          </cell>
          <cell r="O1893" t="str">
            <v>Cummins Engine Maintenance Kit</v>
          </cell>
        </row>
        <row r="1894">
          <cell r="K1894" t="str">
            <v>LFH1701</v>
          </cell>
          <cell r="L1894" t="str">
            <v>HD</v>
          </cell>
          <cell r="M1894" t="str">
            <v>x</v>
          </cell>
          <cell r="N1894" t="e">
            <v>#N/A</v>
          </cell>
          <cell r="O1894" t="str">
            <v>Spin-on Hydraulic Filter</v>
          </cell>
        </row>
        <row r="1895">
          <cell r="K1895" t="str">
            <v>LAF221</v>
          </cell>
          <cell r="L1895" t="str">
            <v>HD</v>
          </cell>
          <cell r="M1895" t="str">
            <v>x</v>
          </cell>
          <cell r="N1895" t="e">
            <v>#N/A</v>
          </cell>
          <cell r="O1895" t="str">
            <v>Round Air Filter</v>
          </cell>
        </row>
        <row r="1896">
          <cell r="K1896" t="str">
            <v>LH11011V</v>
          </cell>
          <cell r="L1896" t="str">
            <v>HD</v>
          </cell>
          <cell r="M1896" t="str">
            <v>x</v>
          </cell>
          <cell r="N1896" t="e">
            <v>#N/A</v>
          </cell>
          <cell r="O1896" t="str">
            <v>Industrial Cartridge Hydraulic Filter</v>
          </cell>
        </row>
        <row r="1897">
          <cell r="K1897" t="str">
            <v>LH11006V</v>
          </cell>
          <cell r="L1897" t="str">
            <v>HD</v>
          </cell>
          <cell r="M1897" t="str">
            <v>x</v>
          </cell>
          <cell r="N1897" t="e">
            <v>#N/A</v>
          </cell>
          <cell r="O1897" t="str">
            <v>Industrial Cartridge Hydraulic Filter</v>
          </cell>
        </row>
        <row r="1898">
          <cell r="K1898" t="str">
            <v>LAF1996</v>
          </cell>
          <cell r="L1898" t="str">
            <v>HD</v>
          </cell>
          <cell r="M1898" t="str">
            <v>x</v>
          </cell>
          <cell r="N1898" t="e">
            <v>#N/A</v>
          </cell>
          <cell r="O1898" t="str">
            <v>HD Metal-End Inner Air Filter</v>
          </cell>
        </row>
        <row r="1899">
          <cell r="K1899" t="str">
            <v>LAF5863</v>
          </cell>
          <cell r="L1899" t="str">
            <v>HD</v>
          </cell>
          <cell r="M1899" t="str">
            <v>x</v>
          </cell>
          <cell r="N1899" t="e">
            <v>#N/A</v>
          </cell>
          <cell r="O1899" t="str">
            <v>HD Metal-End Air Filter with Attached Lid</v>
          </cell>
        </row>
        <row r="1900">
          <cell r="K1900" t="str">
            <v>LAF1865</v>
          </cell>
          <cell r="L1900" t="str">
            <v>HD</v>
          </cell>
          <cell r="M1900" t="str">
            <v>x</v>
          </cell>
          <cell r="N1900" t="str">
            <v>LAF1865</v>
          </cell>
          <cell r="O1900" t="str">
            <v>HD Metal-End Air Filter</v>
          </cell>
        </row>
        <row r="1901">
          <cell r="K1901" t="str">
            <v>L1148F</v>
          </cell>
          <cell r="L1901" t="str">
            <v>HD</v>
          </cell>
          <cell r="M1901" t="str">
            <v>x</v>
          </cell>
          <cell r="N1901" t="e">
            <v>#N/A</v>
          </cell>
          <cell r="O1901" t="str">
            <v>Fuel Water Seperator Element Filter</v>
          </cell>
        </row>
        <row r="1902">
          <cell r="K1902" t="str">
            <v>LFF12D</v>
          </cell>
          <cell r="L1902" t="str">
            <v>HD</v>
          </cell>
          <cell r="M1902" t="str">
            <v>x</v>
          </cell>
          <cell r="N1902" t="e">
            <v>#N/A</v>
          </cell>
          <cell r="O1902" t="str">
            <v>Fuel Dispensing Filter</v>
          </cell>
        </row>
        <row r="1903">
          <cell r="K1903" t="str">
            <v>LK228C</v>
          </cell>
          <cell r="L1903" t="str">
            <v>HD</v>
          </cell>
          <cell r="M1903" t="str">
            <v>x</v>
          </cell>
          <cell r="N1903" t="e">
            <v>#N/A</v>
          </cell>
          <cell r="O1903" t="str">
            <v>Cummins Engine Maintenance Kit</v>
          </cell>
        </row>
        <row r="1904">
          <cell r="K1904" t="str">
            <v>LK56CA</v>
          </cell>
          <cell r="L1904" t="str">
            <v>HD</v>
          </cell>
          <cell r="M1904" t="str">
            <v>x</v>
          </cell>
          <cell r="N1904" t="e">
            <v>#N/A</v>
          </cell>
          <cell r="O1904" t="str">
            <v>Caterpillar Engine Maintenance Kit</v>
          </cell>
        </row>
        <row r="1905">
          <cell r="K1905" t="str">
            <v>LK345CA</v>
          </cell>
          <cell r="L1905" t="str">
            <v>HD</v>
          </cell>
          <cell r="M1905" t="str">
            <v>x</v>
          </cell>
          <cell r="N1905" t="e">
            <v>#N/A</v>
          </cell>
          <cell r="O1905" t="str">
            <v>Caterpillar Engine Maintenance Kit</v>
          </cell>
        </row>
        <row r="1906">
          <cell r="K1906" t="str">
            <v>LP2272</v>
          </cell>
          <cell r="L1906" t="str">
            <v>HD</v>
          </cell>
          <cell r="M1906" t="str">
            <v>x</v>
          </cell>
          <cell r="N1906" t="e">
            <v>#N/A</v>
          </cell>
          <cell r="O1906" t="str">
            <v>Cartridge Oil Filter</v>
          </cell>
        </row>
        <row r="1907">
          <cell r="K1907" t="str">
            <v>LH5751</v>
          </cell>
          <cell r="L1907" t="str">
            <v>HD</v>
          </cell>
          <cell r="M1907" t="str">
            <v>x</v>
          </cell>
          <cell r="N1907" t="e">
            <v>#N/A</v>
          </cell>
          <cell r="O1907" t="str">
            <v>Cartridge Hydraulic Filter</v>
          </cell>
        </row>
        <row r="1908">
          <cell r="K1908" t="str">
            <v>LH4250</v>
          </cell>
          <cell r="L1908" t="str">
            <v>HD</v>
          </cell>
          <cell r="M1908" t="str">
            <v>x</v>
          </cell>
          <cell r="N1908" t="e">
            <v>#N/A</v>
          </cell>
          <cell r="O1908" t="str">
            <v>Cartridge Hydraulic Filter</v>
          </cell>
        </row>
        <row r="1909">
          <cell r="K1909" t="str">
            <v>LH95305V</v>
          </cell>
          <cell r="L1909" t="str">
            <v>HD</v>
          </cell>
          <cell r="M1909" t="str">
            <v>x</v>
          </cell>
          <cell r="N1909" t="e">
            <v>#N/A</v>
          </cell>
          <cell r="O1909" t="str">
            <v>Cartridge Hydraulic Filter</v>
          </cell>
        </row>
        <row r="1910">
          <cell r="K1910" t="str">
            <v>L3563F</v>
          </cell>
          <cell r="L1910" t="str">
            <v>HD</v>
          </cell>
          <cell r="M1910" t="str">
            <v>x</v>
          </cell>
          <cell r="N1910" t="e">
            <v>#N/A</v>
          </cell>
          <cell r="O1910" t="str">
            <v>Cartridge Fuel Filter</v>
          </cell>
        </row>
        <row r="1911">
          <cell r="K1911" t="str">
            <v>CAF7798</v>
          </cell>
          <cell r="L1911" t="str">
            <v>HD</v>
          </cell>
          <cell r="M1911" t="str">
            <v>x</v>
          </cell>
          <cell r="N1911" t="e">
            <v>#N/A</v>
          </cell>
          <cell r="O1911" t="str">
            <v>Cabin Air Filter (Carbon)</v>
          </cell>
        </row>
        <row r="1912">
          <cell r="K1912" t="str">
            <v>LAF8689</v>
          </cell>
          <cell r="L1912" t="str">
            <v>HD</v>
          </cell>
          <cell r="M1912" t="str">
            <v>x</v>
          </cell>
          <cell r="N1912" t="e">
            <v>#N/A</v>
          </cell>
          <cell r="O1912" t="str">
            <v>Radial Seal Inner Air Filter</v>
          </cell>
        </row>
        <row r="1913">
          <cell r="K1913" t="str">
            <v>LAF8658</v>
          </cell>
          <cell r="L1913" t="str">
            <v>HD</v>
          </cell>
          <cell r="M1913" t="str">
            <v>x</v>
          </cell>
          <cell r="N1913" t="e">
            <v>#N/A</v>
          </cell>
          <cell r="O1913" t="str">
            <v>HD Metal-End Air Filter</v>
          </cell>
        </row>
        <row r="1914">
          <cell r="K1914" t="str">
            <v>LAF4759</v>
          </cell>
          <cell r="L1914" t="str">
            <v>HD</v>
          </cell>
          <cell r="M1914" t="str">
            <v>x</v>
          </cell>
          <cell r="N1914" t="e">
            <v>#N/A</v>
          </cell>
          <cell r="O1914" t="str">
            <v>HD Metal-End Air Filter</v>
          </cell>
        </row>
        <row r="1915">
          <cell r="K1915" t="str">
            <v>LAF8072</v>
          </cell>
          <cell r="L1915" t="str">
            <v>HD</v>
          </cell>
          <cell r="M1915" t="str">
            <v>x</v>
          </cell>
          <cell r="N1915" t="e">
            <v>#N/A</v>
          </cell>
          <cell r="O1915" t="str">
            <v>HD Metal-End Air Filter with Attached Lid</v>
          </cell>
        </row>
        <row r="1916">
          <cell r="K1916" t="str">
            <v>LH4226</v>
          </cell>
          <cell r="L1916" t="str">
            <v>HD</v>
          </cell>
          <cell r="M1916" t="str">
            <v>x</v>
          </cell>
          <cell r="N1916" t="e">
            <v>#N/A</v>
          </cell>
          <cell r="O1916" t="str">
            <v>Cartridge Hydraulic Filter</v>
          </cell>
        </row>
        <row r="1917">
          <cell r="K1917" t="str">
            <v>LAF8226</v>
          </cell>
          <cell r="L1917" t="str">
            <v>HD</v>
          </cell>
          <cell r="M1917" t="str">
            <v>x</v>
          </cell>
          <cell r="N1917" t="e">
            <v>#N/A</v>
          </cell>
          <cell r="O1917" t="str">
            <v>HD Metal-End Inner Air Filter</v>
          </cell>
        </row>
        <row r="1918">
          <cell r="K1918" t="str">
            <v>LAF1905</v>
          </cell>
          <cell r="L1918" t="str">
            <v>HD</v>
          </cell>
          <cell r="M1918" t="str">
            <v>x</v>
          </cell>
          <cell r="N1918" t="e">
            <v>#N/A</v>
          </cell>
          <cell r="O1918" t="str">
            <v>HD Metal-End Air Filter</v>
          </cell>
        </row>
        <row r="1919">
          <cell r="K1919" t="str">
            <v>L8254F</v>
          </cell>
          <cell r="L1919" t="str">
            <v>HD</v>
          </cell>
          <cell r="M1919" t="str">
            <v>x</v>
          </cell>
          <cell r="N1919" t="e">
            <v>#N/A</v>
          </cell>
          <cell r="O1919" t="str">
            <v>Cartridge Fuel Filter</v>
          </cell>
        </row>
        <row r="1920">
          <cell r="K1920" t="str">
            <v>LAF1711</v>
          </cell>
          <cell r="L1920" t="str">
            <v>HD</v>
          </cell>
          <cell r="M1920" t="str">
            <v>x</v>
          </cell>
          <cell r="N1920" t="e">
            <v>#N/A</v>
          </cell>
          <cell r="O1920" t="str">
            <v>Round Inner Air Filter</v>
          </cell>
        </row>
        <row r="1921">
          <cell r="K1921" t="str">
            <v>LAF264</v>
          </cell>
          <cell r="L1921" t="str">
            <v>HD</v>
          </cell>
          <cell r="M1921" t="str">
            <v>x</v>
          </cell>
          <cell r="N1921" t="e">
            <v>#N/A</v>
          </cell>
          <cell r="O1921" t="str">
            <v>HD Metal-End Air Filter</v>
          </cell>
        </row>
        <row r="1922">
          <cell r="K1922" t="str">
            <v>LAF8604</v>
          </cell>
          <cell r="L1922" t="str">
            <v>HD</v>
          </cell>
          <cell r="M1922" t="str">
            <v>x</v>
          </cell>
          <cell r="N1922" t="e">
            <v>#N/A</v>
          </cell>
          <cell r="O1922" t="str">
            <v>HD Metal-End Air Filter with Attached Lid</v>
          </cell>
        </row>
        <row r="1923">
          <cell r="K1923" t="str">
            <v>LAF5518</v>
          </cell>
          <cell r="L1923" t="str">
            <v>HD</v>
          </cell>
          <cell r="M1923" t="str">
            <v>x</v>
          </cell>
          <cell r="N1923" t="e">
            <v>#N/A</v>
          </cell>
          <cell r="O1923" t="str">
            <v>HD Round Air Filter with Attached Boot</v>
          </cell>
        </row>
        <row r="1924">
          <cell r="K1924" t="str">
            <v>LAF3702</v>
          </cell>
          <cell r="L1924" t="str">
            <v>HD</v>
          </cell>
          <cell r="M1924" t="str">
            <v>x</v>
          </cell>
          <cell r="N1924" t="e">
            <v>#N/A</v>
          </cell>
          <cell r="O1924" t="str">
            <v>HD Round Air Filter with Attached Lid</v>
          </cell>
        </row>
        <row r="1925">
          <cell r="K1925" t="str">
            <v>LAF4631</v>
          </cell>
          <cell r="L1925" t="str">
            <v>HD</v>
          </cell>
          <cell r="M1925" t="str">
            <v>x</v>
          </cell>
          <cell r="N1925" t="e">
            <v>#N/A</v>
          </cell>
          <cell r="O1925" t="str">
            <v>HD Metal-End Air Filter</v>
          </cell>
        </row>
        <row r="1926">
          <cell r="K1926" t="str">
            <v>LAF8622</v>
          </cell>
          <cell r="L1926" t="str">
            <v>HD</v>
          </cell>
          <cell r="M1926" t="str">
            <v>x</v>
          </cell>
          <cell r="N1926" t="e">
            <v>#N/A</v>
          </cell>
          <cell r="O1926" t="str">
            <v>Round Inner Air Filter</v>
          </cell>
        </row>
        <row r="1927">
          <cell r="K1927" t="str">
            <v>LAF9111</v>
          </cell>
          <cell r="L1927" t="str">
            <v>HD</v>
          </cell>
          <cell r="M1927" t="str">
            <v>x</v>
          </cell>
          <cell r="N1927" t="e">
            <v>#N/A</v>
          </cell>
          <cell r="O1927" t="str">
            <v>Finned Vane Air Filter With Attached Lid</v>
          </cell>
        </row>
        <row r="1928">
          <cell r="K1928" t="str">
            <v>LAF4490</v>
          </cell>
          <cell r="L1928" t="str">
            <v>HD</v>
          </cell>
          <cell r="M1928" t="str">
            <v>x</v>
          </cell>
          <cell r="N1928" t="e">
            <v>#N/A</v>
          </cell>
          <cell r="O1928" t="str">
            <v>Metal-End Air Filter with Closed Top End Cap</v>
          </cell>
        </row>
        <row r="1929">
          <cell r="K1929" t="str">
            <v>LAF1640</v>
          </cell>
          <cell r="L1929" t="str">
            <v>HD</v>
          </cell>
          <cell r="M1929" t="str">
            <v>x</v>
          </cell>
          <cell r="N1929" t="e">
            <v>#N/A</v>
          </cell>
          <cell r="O1929" t="str">
            <v>Oval Air Filter</v>
          </cell>
        </row>
        <row r="1930">
          <cell r="K1930" t="str">
            <v>LAF7933</v>
          </cell>
          <cell r="L1930" t="str">
            <v>HD</v>
          </cell>
          <cell r="M1930" t="str">
            <v>x</v>
          </cell>
          <cell r="N1930" t="e">
            <v>#N/A</v>
          </cell>
          <cell r="O1930" t="str">
            <v>HD Metal-End Inner Air Filter</v>
          </cell>
        </row>
        <row r="1931">
          <cell r="K1931" t="str">
            <v>LAF8633</v>
          </cell>
          <cell r="L1931" t="str">
            <v>HD</v>
          </cell>
          <cell r="M1931" t="str">
            <v>x</v>
          </cell>
          <cell r="N1931" t="e">
            <v>#N/A</v>
          </cell>
          <cell r="O1931" t="str">
            <v>HD Metal-End Air Filter</v>
          </cell>
        </row>
        <row r="1932">
          <cell r="K1932" t="str">
            <v>L5087F</v>
          </cell>
          <cell r="L1932" t="str">
            <v>HD</v>
          </cell>
          <cell r="M1932" t="str">
            <v>x</v>
          </cell>
          <cell r="N1932" t="e">
            <v>#N/A</v>
          </cell>
          <cell r="O1932" t="str">
            <v>Cartridge Fuel Filter</v>
          </cell>
        </row>
        <row r="1933">
          <cell r="K1933" t="str">
            <v>3692</v>
          </cell>
          <cell r="L1933" t="str">
            <v>HD</v>
          </cell>
          <cell r="M1933" t="str">
            <v>x</v>
          </cell>
          <cell r="N1933" t="e">
            <v>#N/A</v>
          </cell>
          <cell r="O1933" t="str">
            <v>Cover Gasket Replaces Cummins 145641, For Cummins 500 &amp; 750 Units</v>
          </cell>
        </row>
        <row r="1934">
          <cell r="K1934">
            <v>500</v>
          </cell>
          <cell r="L1934" t="str">
            <v>HD</v>
          </cell>
          <cell r="M1934" t="str">
            <v>x</v>
          </cell>
          <cell r="N1934" t="e">
            <v>#N/A</v>
          </cell>
          <cell r="O1934" t="str">
            <v>Luber-finer 500 Series refining pak (standard), recommended for filtering non-detergent, straight mineral oil, synthetic oils, hydraulic fluids, fuel oils, etc.</v>
          </cell>
        </row>
        <row r="1935">
          <cell r="K1935" t="str">
            <v>LAF8672</v>
          </cell>
          <cell r="L1935" t="str">
            <v>HD</v>
          </cell>
          <cell r="M1935" t="str">
            <v>x</v>
          </cell>
          <cell r="N1935" t="e">
            <v>#N/A</v>
          </cell>
          <cell r="O1935" t="str">
            <v>Disposible Housing Air Filter</v>
          </cell>
        </row>
        <row r="1936">
          <cell r="K1936" t="str">
            <v>LP2336</v>
          </cell>
          <cell r="L1936" t="str">
            <v>HD</v>
          </cell>
          <cell r="M1936" t="str">
            <v>x</v>
          </cell>
          <cell r="N1936" t="e">
            <v>#N/A</v>
          </cell>
          <cell r="O1936" t="str">
            <v>Cartridge Oil Filter</v>
          </cell>
        </row>
        <row r="1937">
          <cell r="K1937" t="str">
            <v>LAF5835</v>
          </cell>
          <cell r="L1937" t="str">
            <v>HD</v>
          </cell>
          <cell r="M1937" t="str">
            <v>x</v>
          </cell>
          <cell r="N1937" t="e">
            <v>#N/A</v>
          </cell>
          <cell r="O1937" t="str">
            <v>HD Metal-End Air Filter-Inner</v>
          </cell>
        </row>
        <row r="1938">
          <cell r="K1938" t="str">
            <v>LAF8656</v>
          </cell>
          <cell r="L1938" t="str">
            <v>HD</v>
          </cell>
          <cell r="M1938" t="str">
            <v>x</v>
          </cell>
          <cell r="N1938" t="e">
            <v>#N/A</v>
          </cell>
          <cell r="O1938" t="str">
            <v>HD Metal-End Air Filter</v>
          </cell>
        </row>
        <row r="1939">
          <cell r="K1939" t="str">
            <v>LK262CA</v>
          </cell>
          <cell r="L1939" t="str">
            <v>HD</v>
          </cell>
          <cell r="M1939" t="str">
            <v>x</v>
          </cell>
          <cell r="N1939" t="e">
            <v>#N/A</v>
          </cell>
          <cell r="O1939" t="str">
            <v>Caterpillar Engine Maintenance Kit</v>
          </cell>
        </row>
        <row r="1940">
          <cell r="K1940" t="str">
            <v>LAF8607</v>
          </cell>
          <cell r="L1940" t="str">
            <v>HD</v>
          </cell>
          <cell r="M1940" t="str">
            <v>x</v>
          </cell>
          <cell r="N1940" t="e">
            <v>#N/A</v>
          </cell>
          <cell r="O1940" t="str">
            <v>HD Round Air Filter with Attached Boot</v>
          </cell>
        </row>
        <row r="1941">
          <cell r="K1941" t="str">
            <v>LFF4102D</v>
          </cell>
          <cell r="L1941" t="str">
            <v>HD</v>
          </cell>
          <cell r="M1941" t="str">
            <v>x</v>
          </cell>
          <cell r="N1941" t="e">
            <v>#N/A</v>
          </cell>
          <cell r="O1941" t="str">
            <v>Spin-on Fuel Filter</v>
          </cell>
        </row>
        <row r="1942">
          <cell r="K1942" t="str">
            <v>LFP2257</v>
          </cell>
          <cell r="L1942" t="str">
            <v>HD</v>
          </cell>
          <cell r="M1942" t="str">
            <v>x</v>
          </cell>
          <cell r="N1942" t="e">
            <v>#N/A</v>
          </cell>
          <cell r="O1942" t="str">
            <v>Spin-on Oil Filter</v>
          </cell>
        </row>
        <row r="1943">
          <cell r="K1943" t="str">
            <v>LH4246</v>
          </cell>
          <cell r="L1943" t="str">
            <v>HD</v>
          </cell>
          <cell r="M1943" t="str">
            <v>x</v>
          </cell>
          <cell r="N1943" t="e">
            <v>#N/A</v>
          </cell>
          <cell r="O1943" t="str">
            <v>Cartridge Hydraulic Filter</v>
          </cell>
        </row>
        <row r="1944">
          <cell r="K1944" t="str">
            <v>LAF1136</v>
          </cell>
          <cell r="L1944" t="str">
            <v>HD</v>
          </cell>
          <cell r="M1944" t="str">
            <v>x</v>
          </cell>
          <cell r="N1944" t="e">
            <v>#N/A</v>
          </cell>
          <cell r="O1944" t="str">
            <v>Round Inner Air Filter</v>
          </cell>
        </row>
        <row r="1945">
          <cell r="K1945" t="str">
            <v>LAF9387</v>
          </cell>
          <cell r="L1945" t="str">
            <v>HD</v>
          </cell>
          <cell r="M1945" t="str">
            <v>x</v>
          </cell>
          <cell r="N1945" t="e">
            <v>#N/A</v>
          </cell>
          <cell r="O1945" t="str">
            <v>Radial Seal Inner Air Filter</v>
          </cell>
        </row>
        <row r="1946">
          <cell r="K1946" t="str">
            <v>LFP8452</v>
          </cell>
          <cell r="L1946" t="str">
            <v>HD</v>
          </cell>
          <cell r="M1946" t="str">
            <v>x</v>
          </cell>
          <cell r="N1946" t="e">
            <v>#N/A</v>
          </cell>
          <cell r="O1946" t="str">
            <v>Spin-on Oil Filter</v>
          </cell>
        </row>
        <row r="1947">
          <cell r="K1947" t="str">
            <v>LAF22013</v>
          </cell>
          <cell r="L1947" t="str">
            <v>HD</v>
          </cell>
          <cell r="M1947" t="str">
            <v>x</v>
          </cell>
          <cell r="N1947" t="e">
            <v>#N/A</v>
          </cell>
          <cell r="O1947" t="str">
            <v>Finned Vane Air Filter</v>
          </cell>
        </row>
        <row r="1948">
          <cell r="K1948" t="str">
            <v>LAF4347</v>
          </cell>
          <cell r="L1948" t="str">
            <v>HD</v>
          </cell>
          <cell r="M1948" t="str">
            <v>x</v>
          </cell>
          <cell r="N1948" t="e">
            <v>#N/A</v>
          </cell>
          <cell r="O1948" t="str">
            <v>Finned Vane Air Filter</v>
          </cell>
        </row>
        <row r="1949">
          <cell r="K1949" t="str">
            <v>LFH4201</v>
          </cell>
          <cell r="L1949" t="str">
            <v>HD</v>
          </cell>
          <cell r="M1949" t="str">
            <v>x</v>
          </cell>
          <cell r="N1949" t="e">
            <v>#N/A</v>
          </cell>
          <cell r="O1949" t="str">
            <v>Spin-on Hydraulic Filter</v>
          </cell>
        </row>
        <row r="1950">
          <cell r="K1950" t="str">
            <v>LAF8954</v>
          </cell>
          <cell r="L1950" t="str">
            <v>HD</v>
          </cell>
          <cell r="M1950" t="str">
            <v>x</v>
          </cell>
          <cell r="N1950" t="e">
            <v>#N/A</v>
          </cell>
          <cell r="O1950" t="str">
            <v>HD Metal-End Air Filter</v>
          </cell>
        </row>
        <row r="1951">
          <cell r="K1951" t="str">
            <v>LH4396</v>
          </cell>
          <cell r="L1951" t="str">
            <v>HD</v>
          </cell>
          <cell r="M1951" t="str">
            <v>x</v>
          </cell>
          <cell r="N1951" t="e">
            <v>#N/A</v>
          </cell>
          <cell r="O1951" t="str">
            <v>Cartridge Hydraulic Filter</v>
          </cell>
        </row>
        <row r="1952">
          <cell r="K1952" t="str">
            <v>LAF1226</v>
          </cell>
          <cell r="L1952" t="str">
            <v>HD</v>
          </cell>
          <cell r="M1952" t="str">
            <v>x</v>
          </cell>
          <cell r="N1952" t="e">
            <v>#N/A</v>
          </cell>
          <cell r="O1952" t="str">
            <v>Tube Type Air Filter</v>
          </cell>
        </row>
        <row r="1953">
          <cell r="K1953" t="str">
            <v>LFF3416</v>
          </cell>
          <cell r="L1953" t="str">
            <v>HD</v>
          </cell>
          <cell r="M1953" t="str">
            <v>x</v>
          </cell>
          <cell r="N1953" t="e">
            <v>#N/A</v>
          </cell>
          <cell r="O1953" t="str">
            <v>Spin-on Fuel Filter</v>
          </cell>
        </row>
        <row r="1954">
          <cell r="K1954" t="str">
            <v>LAF1779</v>
          </cell>
          <cell r="L1954" t="str">
            <v>HD</v>
          </cell>
          <cell r="M1954" t="str">
            <v>x</v>
          </cell>
          <cell r="N1954" t="e">
            <v>#N/A</v>
          </cell>
          <cell r="O1954" t="str">
            <v>Round Inner Air Filter</v>
          </cell>
        </row>
        <row r="1955">
          <cell r="K1955" t="str">
            <v>LAF1973</v>
          </cell>
          <cell r="L1955" t="str">
            <v>HD</v>
          </cell>
          <cell r="M1955" t="str">
            <v>x</v>
          </cell>
          <cell r="N1955" t="e">
            <v>#N/A</v>
          </cell>
          <cell r="O1955" t="str">
            <v>Round Air Filter</v>
          </cell>
        </row>
        <row r="1956">
          <cell r="K1956" t="str">
            <v>LAF8182</v>
          </cell>
          <cell r="L1956" t="str">
            <v>HD</v>
          </cell>
          <cell r="M1956" t="str">
            <v>x</v>
          </cell>
          <cell r="N1956" t="e">
            <v>#N/A</v>
          </cell>
          <cell r="O1956" t="str">
            <v>HD Metal-End Air Filter</v>
          </cell>
        </row>
        <row r="1957">
          <cell r="K1957" t="str">
            <v>LK21C</v>
          </cell>
          <cell r="L1957" t="str">
            <v>HD</v>
          </cell>
          <cell r="M1957" t="str">
            <v>x</v>
          </cell>
          <cell r="N1957" t="e">
            <v>#N/A</v>
          </cell>
          <cell r="O1957" t="str">
            <v>Cummins Engine Maintenance Kit</v>
          </cell>
        </row>
        <row r="1958">
          <cell r="K1958" t="str">
            <v>LH4236</v>
          </cell>
          <cell r="L1958" t="str">
            <v>HD</v>
          </cell>
          <cell r="M1958" t="str">
            <v>x</v>
          </cell>
          <cell r="N1958" t="e">
            <v>#N/A</v>
          </cell>
          <cell r="O1958" t="str">
            <v>Cartridge Hydraulic Filter</v>
          </cell>
        </row>
        <row r="1959">
          <cell r="K1959" t="str">
            <v>L3542F</v>
          </cell>
          <cell r="L1959" t="str">
            <v>HD</v>
          </cell>
          <cell r="M1959" t="str">
            <v>x</v>
          </cell>
          <cell r="N1959" t="e">
            <v>#N/A</v>
          </cell>
          <cell r="O1959" t="str">
            <v>Cartridge Fuel Filter</v>
          </cell>
        </row>
        <row r="1960">
          <cell r="K1960" t="str">
            <v>LAF240HD</v>
          </cell>
          <cell r="L1960" t="str">
            <v>HD</v>
          </cell>
          <cell r="M1960" t="str">
            <v>x</v>
          </cell>
          <cell r="N1960" t="e">
            <v>#N/A</v>
          </cell>
          <cell r="O1960" t="str">
            <v>HD Round Air Filter with non-woven Batt Media</v>
          </cell>
        </row>
        <row r="1961">
          <cell r="K1961" t="str">
            <v>LAF3742</v>
          </cell>
          <cell r="L1961" t="str">
            <v>HD</v>
          </cell>
          <cell r="M1961" t="str">
            <v>x</v>
          </cell>
          <cell r="N1961" t="e">
            <v>#N/A</v>
          </cell>
          <cell r="O1961" t="str">
            <v>Finned Vane Air Filter</v>
          </cell>
        </row>
        <row r="1962">
          <cell r="K1962" t="str">
            <v>LAF8977</v>
          </cell>
          <cell r="L1962" t="str">
            <v>HD</v>
          </cell>
          <cell r="M1962" t="str">
            <v>x</v>
          </cell>
          <cell r="N1962" t="e">
            <v>#N/A</v>
          </cell>
          <cell r="O1962" t="str">
            <v>HD Metal-End Air Filter with Attached Lid</v>
          </cell>
        </row>
        <row r="1963">
          <cell r="K1963" t="str">
            <v>LFF6354</v>
          </cell>
          <cell r="L1963" t="str">
            <v>HD</v>
          </cell>
          <cell r="M1963" t="str">
            <v>x</v>
          </cell>
          <cell r="N1963" t="e">
            <v>#N/A</v>
          </cell>
          <cell r="O1963" t="str">
            <v>Spin-on Fuel Filter</v>
          </cell>
        </row>
        <row r="1964">
          <cell r="K1964" t="str">
            <v>LAF1940</v>
          </cell>
          <cell r="L1964" t="str">
            <v>HD</v>
          </cell>
          <cell r="M1964" t="str">
            <v>x</v>
          </cell>
          <cell r="N1964" t="e">
            <v>#N/A</v>
          </cell>
          <cell r="O1964" t="str">
            <v>HD Metal-End Inner Air Filter</v>
          </cell>
        </row>
        <row r="1965">
          <cell r="K1965" t="str">
            <v>LAF2604</v>
          </cell>
          <cell r="L1965" t="str">
            <v>HD</v>
          </cell>
          <cell r="M1965" t="str">
            <v>x</v>
          </cell>
          <cell r="N1965" t="e">
            <v>#N/A</v>
          </cell>
          <cell r="O1965" t="str">
            <v>Finned Vane Air Filter</v>
          </cell>
        </row>
        <row r="1966">
          <cell r="K1966" t="str">
            <v>LFH4200</v>
          </cell>
          <cell r="L1966" t="str">
            <v>HD</v>
          </cell>
          <cell r="M1966" t="str">
            <v>x</v>
          </cell>
          <cell r="N1966" t="e">
            <v>#N/A</v>
          </cell>
          <cell r="O1966" t="str">
            <v>Spin-on Hydraulic Filter</v>
          </cell>
        </row>
        <row r="1967">
          <cell r="K1967" t="str">
            <v>LAF2625</v>
          </cell>
          <cell r="L1967" t="str">
            <v>HD</v>
          </cell>
          <cell r="M1967" t="str">
            <v>x</v>
          </cell>
          <cell r="N1967" t="e">
            <v>#N/A</v>
          </cell>
          <cell r="O1967" t="str">
            <v>HD Metal-End Inner Air Filter</v>
          </cell>
        </row>
        <row r="1968">
          <cell r="K1968" t="str">
            <v>LFF903</v>
          </cell>
          <cell r="L1968" t="str">
            <v>HD</v>
          </cell>
          <cell r="M1968" t="str">
            <v>x</v>
          </cell>
          <cell r="N1968" t="e">
            <v>#N/A</v>
          </cell>
          <cell r="O1968" t="str">
            <v>Bowl Style Fuel Water Separator Filter</v>
          </cell>
        </row>
        <row r="1969">
          <cell r="K1969" t="str">
            <v>LAF337</v>
          </cell>
          <cell r="L1969" t="str">
            <v>HD</v>
          </cell>
          <cell r="M1969" t="str">
            <v>x</v>
          </cell>
          <cell r="N1969" t="e">
            <v>#N/A</v>
          </cell>
          <cell r="O1969" t="str">
            <v>HD Metal-End Air Filter with Attached Lid</v>
          </cell>
        </row>
        <row r="1970">
          <cell r="K1970" t="str">
            <v>LAF3661</v>
          </cell>
          <cell r="L1970" t="str">
            <v>HD</v>
          </cell>
          <cell r="M1970" t="str">
            <v>x</v>
          </cell>
          <cell r="N1970" t="e">
            <v>#N/A</v>
          </cell>
          <cell r="O1970" t="str">
            <v>Disposible Housing Air Filter</v>
          </cell>
        </row>
        <row r="1971">
          <cell r="K1971" t="str">
            <v>LAF8426</v>
          </cell>
          <cell r="L1971" t="str">
            <v>HD</v>
          </cell>
          <cell r="M1971" t="str">
            <v>x</v>
          </cell>
          <cell r="N1971" t="e">
            <v>#N/A</v>
          </cell>
          <cell r="O1971" t="str">
            <v>Finned Vane Air Filter</v>
          </cell>
        </row>
        <row r="1972">
          <cell r="K1972" t="str">
            <v>LP5100</v>
          </cell>
          <cell r="L1972" t="str">
            <v>HD</v>
          </cell>
          <cell r="M1972" t="str">
            <v>x</v>
          </cell>
          <cell r="N1972" t="e">
            <v>#N/A</v>
          </cell>
          <cell r="O1972" t="str">
            <v>Cartridge Oil Filter</v>
          </cell>
        </row>
        <row r="1973">
          <cell r="K1973" t="str">
            <v>LFP6240</v>
          </cell>
          <cell r="L1973" t="str">
            <v>HD</v>
          </cell>
          <cell r="M1973" t="str">
            <v>x</v>
          </cell>
          <cell r="N1973" t="e">
            <v>#N/A</v>
          </cell>
          <cell r="O1973" t="str">
            <v>Spin-on Oil Filter</v>
          </cell>
        </row>
        <row r="1974">
          <cell r="K1974" t="str">
            <v>LAF3862</v>
          </cell>
          <cell r="L1974" t="str">
            <v>HD</v>
          </cell>
          <cell r="M1974" t="str">
            <v>x</v>
          </cell>
          <cell r="N1974" t="e">
            <v>#N/A</v>
          </cell>
          <cell r="O1974" t="str">
            <v>Radial Seal Outer Air Filter</v>
          </cell>
        </row>
        <row r="1975">
          <cell r="K1975" t="str">
            <v>LH11010V</v>
          </cell>
          <cell r="L1975" t="str">
            <v>HD</v>
          </cell>
          <cell r="M1975" t="str">
            <v>x</v>
          </cell>
          <cell r="N1975" t="e">
            <v>#N/A</v>
          </cell>
          <cell r="O1975" t="str">
            <v>Industrial Cartridge Hydraulic Filter</v>
          </cell>
        </row>
        <row r="1976">
          <cell r="K1976" t="str">
            <v>LH11005V</v>
          </cell>
          <cell r="L1976" t="str">
            <v>HD</v>
          </cell>
          <cell r="M1976" t="str">
            <v>x</v>
          </cell>
          <cell r="N1976" t="e">
            <v>#N/A</v>
          </cell>
          <cell r="O1976" t="str">
            <v>Industrial Cartridge Hydraulic Filter</v>
          </cell>
        </row>
        <row r="1977">
          <cell r="K1977" t="str">
            <v>LAF22036</v>
          </cell>
          <cell r="L1977" t="str">
            <v>HD</v>
          </cell>
          <cell r="M1977" t="str">
            <v>x</v>
          </cell>
          <cell r="N1977" t="e">
            <v>#N/A</v>
          </cell>
          <cell r="O1977" t="str">
            <v>Round Air Filter</v>
          </cell>
        </row>
        <row r="1978">
          <cell r="K1978" t="str">
            <v>LAF1877</v>
          </cell>
          <cell r="L1978" t="str">
            <v>HD</v>
          </cell>
          <cell r="M1978" t="str">
            <v>x</v>
          </cell>
          <cell r="N1978" t="e">
            <v>#N/A</v>
          </cell>
          <cell r="O1978" t="str">
            <v>Panel Air Filter Metal Framed</v>
          </cell>
        </row>
        <row r="1979">
          <cell r="K1979" t="str">
            <v>LAF9029</v>
          </cell>
          <cell r="L1979" t="str">
            <v>HD</v>
          </cell>
          <cell r="M1979" t="str">
            <v>x</v>
          </cell>
          <cell r="N1979" t="e">
            <v>#N/A</v>
          </cell>
          <cell r="O1979" t="str">
            <v>HD Metal-End Air Filter</v>
          </cell>
        </row>
        <row r="1980">
          <cell r="K1980" t="str">
            <v>LAF1984</v>
          </cell>
          <cell r="L1980" t="str">
            <v>HD</v>
          </cell>
          <cell r="M1980" t="str">
            <v>x</v>
          </cell>
          <cell r="N1980" t="e">
            <v>#N/A</v>
          </cell>
          <cell r="O1980" t="str">
            <v>Finned Vane Air Filter</v>
          </cell>
        </row>
        <row r="1981">
          <cell r="K1981" t="str">
            <v>LK199D</v>
          </cell>
          <cell r="L1981" t="str">
            <v>HD</v>
          </cell>
          <cell r="M1981" t="str">
            <v>x</v>
          </cell>
          <cell r="N1981" t="e">
            <v>#N/A</v>
          </cell>
          <cell r="O1981" t="str">
            <v>Detroit Diesel Engine Maintenance Kit</v>
          </cell>
        </row>
        <row r="1982">
          <cell r="K1982" t="str">
            <v>LH9412</v>
          </cell>
          <cell r="L1982" t="str">
            <v>HD</v>
          </cell>
          <cell r="M1982" t="str">
            <v>x</v>
          </cell>
          <cell r="N1982" t="e">
            <v>#N/A</v>
          </cell>
          <cell r="O1982" t="str">
            <v>Cartridge Hydraulic Filter</v>
          </cell>
        </row>
        <row r="1983">
          <cell r="K1983" t="str">
            <v>4084</v>
          </cell>
          <cell r="L1983" t="str">
            <v>HD</v>
          </cell>
          <cell r="M1983" t="str">
            <v>x</v>
          </cell>
          <cell r="N1983" t="e">
            <v>#N/A</v>
          </cell>
          <cell r="O1983" t="str">
            <v>Air Filter Restriction Gauge; Dash Mount</v>
          </cell>
        </row>
        <row r="1984">
          <cell r="K1984" t="str">
            <v>DRILLED</v>
          </cell>
          <cell r="L1984" t="str">
            <v>HD</v>
          </cell>
          <cell r="M1984" t="str">
            <v>x</v>
          </cell>
          <cell r="N1984" t="e">
            <v>#N/A</v>
          </cell>
          <cell r="O1984" t="str">
            <v>Stud w/Thermostat/500-CT, 750-CT</v>
          </cell>
        </row>
        <row r="1985">
          <cell r="K1985">
            <v>159</v>
          </cell>
          <cell r="L1985" t="str">
            <v>HD</v>
          </cell>
          <cell r="M1985" t="str">
            <v>x</v>
          </cell>
          <cell r="N1985" t="e">
            <v>#N/A</v>
          </cell>
          <cell r="O1985" t="str">
            <v>Spin-on Oil Filter</v>
          </cell>
        </row>
        <row r="1986">
          <cell r="K1986">
            <v>156</v>
          </cell>
          <cell r="L1986" t="str">
            <v>HD</v>
          </cell>
          <cell r="M1986" t="str">
            <v>x</v>
          </cell>
          <cell r="N1986" t="e">
            <v>#N/A</v>
          </cell>
          <cell r="O1986" t="str">
            <v>Spin-on Oil Filter</v>
          </cell>
        </row>
        <row r="1987">
          <cell r="K1987" t="str">
            <v>LAF8641</v>
          </cell>
          <cell r="L1987" t="str">
            <v>HD</v>
          </cell>
          <cell r="M1987" t="str">
            <v>x</v>
          </cell>
          <cell r="N1987" t="e">
            <v>#N/A</v>
          </cell>
          <cell r="O1987" t="str">
            <v>HD Metal-End Inner Air Filter</v>
          </cell>
        </row>
        <row r="1988">
          <cell r="K1988" t="str">
            <v>LAF8404</v>
          </cell>
          <cell r="L1988" t="str">
            <v>HD</v>
          </cell>
          <cell r="M1988" t="str">
            <v>x</v>
          </cell>
          <cell r="N1988" t="e">
            <v>#N/A</v>
          </cell>
          <cell r="O1988" t="str">
            <v>Radial Seal Outer Air Filter</v>
          </cell>
        </row>
        <row r="1989">
          <cell r="K1989" t="str">
            <v>LFH8875G</v>
          </cell>
          <cell r="L1989" t="str">
            <v>HD</v>
          </cell>
          <cell r="M1989" t="str">
            <v>x</v>
          </cell>
          <cell r="N1989" t="e">
            <v>#N/A</v>
          </cell>
          <cell r="O1989" t="str">
            <v>Spin-on Hydraulic Filter</v>
          </cell>
        </row>
        <row r="1990">
          <cell r="K1990" t="str">
            <v>LP5564</v>
          </cell>
          <cell r="L1990" t="str">
            <v>HD</v>
          </cell>
          <cell r="M1990" t="str">
            <v>x</v>
          </cell>
          <cell r="N1990" t="e">
            <v>#N/A</v>
          </cell>
          <cell r="O1990" t="str">
            <v>Cartridge Oil Filter</v>
          </cell>
        </row>
        <row r="1991">
          <cell r="K1991" t="str">
            <v>LFP959FHE</v>
          </cell>
          <cell r="L1991" t="str">
            <v>HD</v>
          </cell>
          <cell r="M1991" t="str">
            <v>x</v>
          </cell>
          <cell r="N1991" t="e">
            <v>#N/A</v>
          </cell>
          <cell r="O1991" t="str">
            <v>Spin-on Fuel Filter</v>
          </cell>
        </row>
        <row r="1992">
          <cell r="K1992" t="str">
            <v>LAF7531</v>
          </cell>
          <cell r="L1992" t="str">
            <v>HD</v>
          </cell>
          <cell r="M1992" t="str">
            <v>x</v>
          </cell>
          <cell r="N1992" t="e">
            <v>#N/A</v>
          </cell>
          <cell r="O1992" t="str">
            <v>HD Metal-End Air Filter</v>
          </cell>
        </row>
        <row r="1993">
          <cell r="K1993" t="str">
            <v>LAF8610</v>
          </cell>
          <cell r="L1993" t="str">
            <v>HD</v>
          </cell>
          <cell r="M1993" t="str">
            <v>x</v>
          </cell>
          <cell r="N1993" t="str">
            <v>LAF8610</v>
          </cell>
          <cell r="O1993" t="str">
            <v>HD Metal-End Air Filter with Attached Lid</v>
          </cell>
        </row>
        <row r="1994">
          <cell r="K1994" t="str">
            <v>LH5840</v>
          </cell>
          <cell r="L1994" t="str">
            <v>HD</v>
          </cell>
          <cell r="M1994" t="str">
            <v>x</v>
          </cell>
          <cell r="N1994" t="e">
            <v>#N/A</v>
          </cell>
          <cell r="O1994" t="str">
            <v>Cartridge Hydraulic Filter</v>
          </cell>
        </row>
        <row r="1995">
          <cell r="K1995" t="str">
            <v>L4367F</v>
          </cell>
          <cell r="L1995" t="str">
            <v>HD</v>
          </cell>
          <cell r="M1995" t="str">
            <v>x</v>
          </cell>
          <cell r="N1995" t="e">
            <v>#N/A</v>
          </cell>
          <cell r="O1995" t="str">
            <v>Cartridge Fuel Filter</v>
          </cell>
        </row>
        <row r="1996">
          <cell r="K1996" t="str">
            <v>LFF3809</v>
          </cell>
          <cell r="L1996" t="str">
            <v>HD</v>
          </cell>
          <cell r="M1996" t="str">
            <v>x</v>
          </cell>
          <cell r="N1996" t="e">
            <v>#N/A</v>
          </cell>
          <cell r="O1996" t="str">
            <v>Spin-on Fuel Filter</v>
          </cell>
        </row>
        <row r="1997">
          <cell r="K1997" t="str">
            <v>LAF3654</v>
          </cell>
          <cell r="L1997" t="str">
            <v>HD</v>
          </cell>
          <cell r="M1997" t="str">
            <v>x</v>
          </cell>
          <cell r="N1997" t="e">
            <v>#N/A</v>
          </cell>
          <cell r="O1997" t="str">
            <v>HD Metal-End Air Filter</v>
          </cell>
        </row>
        <row r="1998">
          <cell r="K1998" t="str">
            <v>LK107M</v>
          </cell>
          <cell r="L1998" t="str">
            <v>HD</v>
          </cell>
          <cell r="M1998" t="str">
            <v>x</v>
          </cell>
          <cell r="N1998" t="e">
            <v>#N/A</v>
          </cell>
          <cell r="O1998" t="str">
            <v>Mack Engine Maintenance Kit</v>
          </cell>
        </row>
        <row r="1999">
          <cell r="K1999" t="str">
            <v>LAF8577</v>
          </cell>
          <cell r="L1999" t="str">
            <v>HD</v>
          </cell>
          <cell r="M1999" t="str">
            <v>x</v>
          </cell>
          <cell r="N1999" t="e">
            <v>#N/A</v>
          </cell>
          <cell r="O1999" t="str">
            <v>HD Metal-End Air Filter</v>
          </cell>
        </row>
        <row r="2000">
          <cell r="K2000" t="str">
            <v>LAF3398</v>
          </cell>
          <cell r="L2000" t="str">
            <v>HD</v>
          </cell>
          <cell r="M2000" t="str">
            <v>x</v>
          </cell>
          <cell r="N2000" t="e">
            <v>#N/A</v>
          </cell>
          <cell r="O2000" t="str">
            <v>HD Metal-End Air Filter</v>
          </cell>
        </row>
        <row r="2001">
          <cell r="K2001" t="str">
            <v>LFH4948</v>
          </cell>
          <cell r="L2001" t="str">
            <v>HD</v>
          </cell>
          <cell r="M2001" t="str">
            <v>x</v>
          </cell>
          <cell r="N2001" t="e">
            <v>#N/A</v>
          </cell>
          <cell r="O2001" t="str">
            <v>Spin-on Hydraulic Filter</v>
          </cell>
        </row>
        <row r="2002">
          <cell r="K2002" t="str">
            <v>LFH4211</v>
          </cell>
          <cell r="L2002" t="str">
            <v>HD</v>
          </cell>
          <cell r="M2002" t="str">
            <v>x</v>
          </cell>
          <cell r="N2002" t="e">
            <v>#N/A</v>
          </cell>
          <cell r="O2002" t="str">
            <v>Spin-on Hydraulic Filter</v>
          </cell>
        </row>
        <row r="2003">
          <cell r="K2003" t="str">
            <v>LAF6442</v>
          </cell>
          <cell r="L2003" t="str">
            <v>HD</v>
          </cell>
          <cell r="M2003" t="str">
            <v>x</v>
          </cell>
          <cell r="N2003" t="e">
            <v>#N/A</v>
          </cell>
          <cell r="O2003" t="str">
            <v>Metal-End Air Filter with Closed Top End Cap</v>
          </cell>
        </row>
        <row r="2004">
          <cell r="K2004" t="str">
            <v>LAF5042</v>
          </cell>
          <cell r="L2004" t="str">
            <v>HD</v>
          </cell>
          <cell r="M2004" t="str">
            <v>x</v>
          </cell>
          <cell r="N2004" t="e">
            <v>#N/A</v>
          </cell>
          <cell r="O2004" t="str">
            <v>HD Round Finned Air Filter with Attached Lid</v>
          </cell>
        </row>
        <row r="2005">
          <cell r="K2005" t="str">
            <v>LAF1843</v>
          </cell>
          <cell r="L2005" t="str">
            <v>HD</v>
          </cell>
          <cell r="M2005" t="str">
            <v>x</v>
          </cell>
          <cell r="N2005" t="e">
            <v>#N/A</v>
          </cell>
          <cell r="O2005" t="str">
            <v>HD Metal-End Air Filter</v>
          </cell>
        </row>
        <row r="2006">
          <cell r="K2006" t="str">
            <v>L3576F</v>
          </cell>
          <cell r="L2006" t="str">
            <v>HD</v>
          </cell>
          <cell r="M2006" t="str">
            <v>x</v>
          </cell>
          <cell r="N2006" t="e">
            <v>#N/A</v>
          </cell>
          <cell r="O2006" t="str">
            <v>Cartridge Fuel Filter</v>
          </cell>
        </row>
        <row r="2007">
          <cell r="K2007" t="str">
            <v>LFH4635G</v>
          </cell>
          <cell r="L2007" t="str">
            <v>HD</v>
          </cell>
          <cell r="M2007" t="str">
            <v>x</v>
          </cell>
          <cell r="N2007" t="e">
            <v>#N/A</v>
          </cell>
          <cell r="O2007" t="str">
            <v>Spin-on Hydraulic Filter</v>
          </cell>
        </row>
        <row r="2008">
          <cell r="K2008" t="str">
            <v>LAF8839</v>
          </cell>
          <cell r="L2008" t="str">
            <v>HD</v>
          </cell>
          <cell r="M2008" t="str">
            <v>x</v>
          </cell>
          <cell r="N2008" t="e">
            <v>#N/A</v>
          </cell>
          <cell r="O2008" t="str">
            <v>Round Inner Air Filter</v>
          </cell>
        </row>
        <row r="2009">
          <cell r="K2009" t="str">
            <v>LAF1898</v>
          </cell>
          <cell r="L2009" t="str">
            <v>HD</v>
          </cell>
          <cell r="M2009" t="str">
            <v>x</v>
          </cell>
          <cell r="N2009" t="e">
            <v>#N/A</v>
          </cell>
          <cell r="O2009" t="str">
            <v>HD Metal-End Inner Air Filter</v>
          </cell>
        </row>
        <row r="2010">
          <cell r="K2010" t="str">
            <v>LAF4607</v>
          </cell>
          <cell r="L2010" t="str">
            <v>HD</v>
          </cell>
          <cell r="M2010" t="str">
            <v>x</v>
          </cell>
          <cell r="N2010" t="e">
            <v>#N/A</v>
          </cell>
          <cell r="O2010" t="str">
            <v>HD Metal-End Air Filter</v>
          </cell>
        </row>
        <row r="2011">
          <cell r="K2011" t="str">
            <v>LH5854</v>
          </cell>
          <cell r="L2011" t="str">
            <v>HD</v>
          </cell>
          <cell r="M2011" t="str">
            <v>x</v>
          </cell>
          <cell r="N2011" t="e">
            <v>#N/A</v>
          </cell>
          <cell r="O2011" t="str">
            <v>Cartridge Hydraulic Filter</v>
          </cell>
        </row>
        <row r="2012">
          <cell r="K2012" t="str">
            <v>LH95037V</v>
          </cell>
          <cell r="L2012" t="str">
            <v>HD</v>
          </cell>
          <cell r="M2012" t="str">
            <v>x</v>
          </cell>
          <cell r="N2012" t="e">
            <v>#N/A</v>
          </cell>
          <cell r="O2012" t="str">
            <v>Cartridge Hydraulic Filter</v>
          </cell>
        </row>
        <row r="2013">
          <cell r="K2013" t="str">
            <v>L267F</v>
          </cell>
          <cell r="L2013" t="str">
            <v>HD</v>
          </cell>
          <cell r="M2013" t="str">
            <v>x</v>
          </cell>
          <cell r="N2013" t="e">
            <v>#N/A</v>
          </cell>
          <cell r="O2013" t="str">
            <v>Cartridge Fuel Filter</v>
          </cell>
        </row>
        <row r="2014">
          <cell r="K2014" t="str">
            <v>LFH22016</v>
          </cell>
          <cell r="L2014" t="str">
            <v>HD</v>
          </cell>
          <cell r="M2014" t="str">
            <v>x</v>
          </cell>
          <cell r="N2014" t="e">
            <v>#N/A</v>
          </cell>
          <cell r="O2014" t="str">
            <v>Spin-on Hydraulic Filter</v>
          </cell>
        </row>
        <row r="2015">
          <cell r="K2015" t="str">
            <v>LFF8258</v>
          </cell>
          <cell r="L2015" t="str">
            <v>HD</v>
          </cell>
          <cell r="M2015" t="str">
            <v>x</v>
          </cell>
          <cell r="N2015" t="e">
            <v>#N/A</v>
          </cell>
          <cell r="O2015" t="str">
            <v>Spin-on Fuel Filter</v>
          </cell>
        </row>
        <row r="2016">
          <cell r="K2016" t="str">
            <v>L24A</v>
          </cell>
          <cell r="L2016" t="str">
            <v>HD</v>
          </cell>
          <cell r="M2016" t="str">
            <v>x</v>
          </cell>
          <cell r="N2016" t="e">
            <v>#N/A</v>
          </cell>
          <cell r="O2016" t="str">
            <v>Sock Type Oil Filter</v>
          </cell>
        </row>
        <row r="2017">
          <cell r="K2017" t="str">
            <v>L3892F</v>
          </cell>
          <cell r="L2017" t="str">
            <v>HD</v>
          </cell>
          <cell r="M2017" t="str">
            <v>x</v>
          </cell>
          <cell r="N2017" t="e">
            <v>#N/A</v>
          </cell>
          <cell r="O2017" t="str">
            <v>Snap-lock Fuel/Water Separator Filter</v>
          </cell>
        </row>
        <row r="2018">
          <cell r="K2018" t="str">
            <v>LAF1479</v>
          </cell>
          <cell r="L2018" t="str">
            <v>HD</v>
          </cell>
          <cell r="M2018" t="str">
            <v>x</v>
          </cell>
          <cell r="N2018" t="e">
            <v>#N/A</v>
          </cell>
          <cell r="O2018" t="str">
            <v>Round Plastisol Air Filter</v>
          </cell>
        </row>
        <row r="2019">
          <cell r="K2019" t="str">
            <v>LAF5798</v>
          </cell>
          <cell r="L2019" t="str">
            <v>HD</v>
          </cell>
          <cell r="M2019" t="str">
            <v>x</v>
          </cell>
          <cell r="N2019" t="e">
            <v>#N/A</v>
          </cell>
          <cell r="O2019" t="str">
            <v>Round Air Filter</v>
          </cell>
        </row>
        <row r="2020">
          <cell r="K2020" t="str">
            <v>LAF1464</v>
          </cell>
          <cell r="L2020" t="str">
            <v>HD</v>
          </cell>
          <cell r="M2020" t="str">
            <v>x</v>
          </cell>
          <cell r="N2020" t="e">
            <v>#N/A</v>
          </cell>
          <cell r="O2020" t="str">
            <v>Round Air Filter</v>
          </cell>
        </row>
        <row r="2021">
          <cell r="K2021" t="str">
            <v>LAF5831</v>
          </cell>
          <cell r="L2021" t="str">
            <v>HD</v>
          </cell>
          <cell r="M2021" t="str">
            <v>x</v>
          </cell>
          <cell r="N2021" t="e">
            <v>#N/A</v>
          </cell>
          <cell r="O2021" t="str">
            <v>Rigid Panel Air Filter</v>
          </cell>
        </row>
        <row r="2022">
          <cell r="K2022" t="str">
            <v>LK342M</v>
          </cell>
          <cell r="L2022" t="str">
            <v>HD</v>
          </cell>
          <cell r="M2022" t="str">
            <v>x</v>
          </cell>
          <cell r="N2022" t="e">
            <v>#N/A</v>
          </cell>
          <cell r="O2022" t="str">
            <v>Mack Engine Maintenance Kit</v>
          </cell>
        </row>
        <row r="2023">
          <cell r="K2023" t="str">
            <v>LK115I</v>
          </cell>
          <cell r="L2023" t="str">
            <v>HD</v>
          </cell>
          <cell r="M2023" t="str">
            <v>x</v>
          </cell>
          <cell r="N2023" t="e">
            <v>#N/A</v>
          </cell>
          <cell r="O2023" t="str">
            <v>International Engine Maintenance Kit</v>
          </cell>
        </row>
        <row r="2024">
          <cell r="K2024" t="str">
            <v>LH9681V</v>
          </cell>
          <cell r="L2024" t="str">
            <v>HD</v>
          </cell>
          <cell r="M2024" t="str">
            <v>x</v>
          </cell>
          <cell r="N2024" t="e">
            <v>#N/A</v>
          </cell>
          <cell r="O2024" t="str">
            <v>Industrial Hydraulic Filter</v>
          </cell>
        </row>
        <row r="2025">
          <cell r="K2025" t="str">
            <v>LH11028</v>
          </cell>
          <cell r="L2025" t="str">
            <v>HD</v>
          </cell>
          <cell r="M2025" t="str">
            <v>x</v>
          </cell>
          <cell r="N2025" t="e">
            <v>#N/A</v>
          </cell>
          <cell r="O2025" t="str">
            <v>Industrial Cartridge Hydraulic Filter</v>
          </cell>
        </row>
        <row r="2026">
          <cell r="K2026" t="str">
            <v>LAF8976</v>
          </cell>
          <cell r="L2026" t="str">
            <v>HD</v>
          </cell>
          <cell r="M2026" t="str">
            <v>x</v>
          </cell>
          <cell r="N2026" t="e">
            <v>#N/A</v>
          </cell>
          <cell r="O2026" t="str">
            <v>HD Round Finned Air Filter with Attached Lid</v>
          </cell>
        </row>
        <row r="2027">
          <cell r="K2027" t="str">
            <v>LAF8529</v>
          </cell>
          <cell r="L2027" t="str">
            <v>HD</v>
          </cell>
          <cell r="M2027" t="str">
            <v>x</v>
          </cell>
          <cell r="N2027" t="e">
            <v>#N/A</v>
          </cell>
          <cell r="O2027" t="str">
            <v>HD Round Air Filter with Attached Boot</v>
          </cell>
        </row>
        <row r="2028">
          <cell r="K2028" t="str">
            <v>LAF1748</v>
          </cell>
          <cell r="L2028" t="str">
            <v>HD</v>
          </cell>
          <cell r="M2028" t="str">
            <v>x</v>
          </cell>
          <cell r="N2028" t="e">
            <v>#N/A</v>
          </cell>
          <cell r="O2028" t="str">
            <v>HD Metal-End Inner Air Filter</v>
          </cell>
        </row>
        <row r="2029">
          <cell r="K2029" t="str">
            <v>LAF8629</v>
          </cell>
          <cell r="L2029" t="str">
            <v>HD</v>
          </cell>
          <cell r="M2029" t="str">
            <v>x</v>
          </cell>
          <cell r="N2029" t="e">
            <v>#N/A</v>
          </cell>
          <cell r="O2029" t="str">
            <v>HD Metal-End Air Filter with Attached Lid</v>
          </cell>
        </row>
        <row r="2030">
          <cell r="K2030" t="str">
            <v>LAF4331</v>
          </cell>
          <cell r="L2030" t="str">
            <v>HD</v>
          </cell>
          <cell r="M2030" t="str">
            <v>x</v>
          </cell>
          <cell r="N2030" t="str">
            <v>LAF4331</v>
          </cell>
          <cell r="O2030" t="str">
            <v>HD Metal-End Air Filter with Attached Lid</v>
          </cell>
        </row>
        <row r="2031">
          <cell r="K2031" t="str">
            <v>LAF75</v>
          </cell>
          <cell r="L2031" t="str">
            <v>HD</v>
          </cell>
          <cell r="M2031" t="str">
            <v>x</v>
          </cell>
          <cell r="N2031" t="e">
            <v>#N/A</v>
          </cell>
          <cell r="O2031" t="str">
            <v>HD Metal-End Air Filter</v>
          </cell>
        </row>
        <row r="2032">
          <cell r="K2032" t="str">
            <v>LAF398</v>
          </cell>
          <cell r="L2032" t="str">
            <v>HD</v>
          </cell>
          <cell r="M2032" t="str">
            <v>x</v>
          </cell>
          <cell r="N2032" t="e">
            <v>#N/A</v>
          </cell>
          <cell r="O2032" t="str">
            <v>HD Metal-End Air Filter</v>
          </cell>
        </row>
        <row r="2033">
          <cell r="K2033" t="str">
            <v>LAF310</v>
          </cell>
          <cell r="L2033" t="str">
            <v>HD</v>
          </cell>
          <cell r="M2033" t="str">
            <v>x</v>
          </cell>
          <cell r="N2033" t="e">
            <v>#N/A</v>
          </cell>
          <cell r="O2033" t="str">
            <v>HD Metal-End Air Filter</v>
          </cell>
        </row>
        <row r="2034">
          <cell r="K2034" t="str">
            <v>LAF1805</v>
          </cell>
          <cell r="L2034" t="str">
            <v>HD</v>
          </cell>
          <cell r="M2034" t="str">
            <v>x</v>
          </cell>
          <cell r="N2034" t="str">
            <v>LAF1805</v>
          </cell>
          <cell r="O2034" t="str">
            <v>HD Metal-End Air Filter</v>
          </cell>
        </row>
        <row r="2035">
          <cell r="K2035" t="str">
            <v>LAF5757</v>
          </cell>
          <cell r="L2035" t="str">
            <v>HD</v>
          </cell>
          <cell r="M2035" t="str">
            <v>x</v>
          </cell>
          <cell r="N2035" t="e">
            <v>#N/A</v>
          </cell>
          <cell r="O2035" t="str">
            <v>HD Metal-End Air Filter</v>
          </cell>
        </row>
        <row r="2036">
          <cell r="K2036" t="str">
            <v>LAF9685</v>
          </cell>
          <cell r="L2036" t="str">
            <v>HD</v>
          </cell>
          <cell r="M2036" t="str">
            <v>x</v>
          </cell>
          <cell r="N2036" t="e">
            <v>#N/A</v>
          </cell>
          <cell r="O2036" t="str">
            <v>HD Metal-End Air Filter</v>
          </cell>
        </row>
        <row r="2037">
          <cell r="K2037" t="str">
            <v>LAF3344</v>
          </cell>
          <cell r="L2037" t="str">
            <v>HD</v>
          </cell>
          <cell r="M2037" t="str">
            <v>x</v>
          </cell>
          <cell r="N2037" t="e">
            <v>#N/A</v>
          </cell>
          <cell r="O2037" t="str">
            <v>HD Metal-End Air Filter</v>
          </cell>
        </row>
        <row r="2038">
          <cell r="K2038" t="str">
            <v>LAF9532</v>
          </cell>
          <cell r="L2038" t="str">
            <v>HD</v>
          </cell>
          <cell r="M2038" t="str">
            <v>x</v>
          </cell>
          <cell r="N2038" t="e">
            <v>#N/A</v>
          </cell>
          <cell r="O2038" t="str">
            <v>HD Metal-End Air Filter</v>
          </cell>
        </row>
        <row r="2039">
          <cell r="K2039" t="str">
            <v>LAF8609</v>
          </cell>
          <cell r="L2039" t="str">
            <v>HD</v>
          </cell>
          <cell r="M2039" t="str">
            <v>x</v>
          </cell>
          <cell r="N2039" t="e">
            <v>#N/A</v>
          </cell>
          <cell r="O2039" t="str">
            <v>HD Metal-End Air Filter</v>
          </cell>
        </row>
        <row r="2040">
          <cell r="K2040" t="str">
            <v>LAF7727</v>
          </cell>
          <cell r="L2040" t="str">
            <v>HD</v>
          </cell>
          <cell r="M2040" t="str">
            <v>x</v>
          </cell>
          <cell r="N2040" t="e">
            <v>#N/A</v>
          </cell>
          <cell r="O2040" t="str">
            <v>HD Metal-End Air Filter</v>
          </cell>
        </row>
        <row r="2041">
          <cell r="K2041" t="str">
            <v>LAF22031</v>
          </cell>
          <cell r="L2041" t="str">
            <v>HD</v>
          </cell>
          <cell r="M2041" t="str">
            <v>x</v>
          </cell>
          <cell r="N2041" t="e">
            <v>#N/A</v>
          </cell>
          <cell r="O2041" t="str">
            <v>Flexible Panel Air Filter</v>
          </cell>
        </row>
        <row r="2042">
          <cell r="K2042" t="str">
            <v>LAF1825</v>
          </cell>
          <cell r="L2042" t="str">
            <v>HD</v>
          </cell>
          <cell r="M2042" t="str">
            <v>x</v>
          </cell>
          <cell r="N2042" t="e">
            <v>#N/A</v>
          </cell>
          <cell r="O2042" t="str">
            <v>Disposible Housing Air Filter</v>
          </cell>
        </row>
        <row r="2043">
          <cell r="K2043" t="str">
            <v>LP4414</v>
          </cell>
          <cell r="L2043" t="str">
            <v>HD</v>
          </cell>
          <cell r="M2043" t="str">
            <v>x</v>
          </cell>
          <cell r="N2043" t="e">
            <v>#N/A</v>
          </cell>
          <cell r="O2043" t="str">
            <v>Cartridge Oil Filter</v>
          </cell>
        </row>
        <row r="2044">
          <cell r="K2044" t="str">
            <v>LP1670</v>
          </cell>
          <cell r="L2044" t="str">
            <v>HD</v>
          </cell>
          <cell r="M2044" t="str">
            <v>x</v>
          </cell>
          <cell r="N2044" t="e">
            <v>#N/A</v>
          </cell>
          <cell r="O2044" t="str">
            <v>Cartridge Oil Filter</v>
          </cell>
        </row>
        <row r="2045">
          <cell r="K2045" t="str">
            <v>LH5006</v>
          </cell>
          <cell r="L2045" t="str">
            <v>HD</v>
          </cell>
          <cell r="M2045" t="str">
            <v>x</v>
          </cell>
          <cell r="N2045" t="e">
            <v>#N/A</v>
          </cell>
          <cell r="O2045" t="str">
            <v>Cartridge Hydraulic Filter</v>
          </cell>
        </row>
        <row r="2046">
          <cell r="K2046" t="str">
            <v>LH5020</v>
          </cell>
          <cell r="L2046" t="str">
            <v>HD</v>
          </cell>
          <cell r="M2046" t="str">
            <v>x</v>
          </cell>
          <cell r="N2046" t="e">
            <v>#N/A</v>
          </cell>
          <cell r="O2046" t="str">
            <v>Cartridge Hydraulic Filter</v>
          </cell>
        </row>
        <row r="2047">
          <cell r="K2047" t="str">
            <v>LH4852</v>
          </cell>
          <cell r="L2047" t="str">
            <v>HD</v>
          </cell>
          <cell r="M2047" t="str">
            <v>x</v>
          </cell>
          <cell r="N2047" t="e">
            <v>#N/A</v>
          </cell>
          <cell r="O2047" t="str">
            <v>Cartridge Hydraulic Filter</v>
          </cell>
        </row>
        <row r="2048">
          <cell r="K2048" t="str">
            <v>LH9304V</v>
          </cell>
          <cell r="L2048" t="str">
            <v>HD</v>
          </cell>
          <cell r="M2048" t="str">
            <v>x</v>
          </cell>
          <cell r="N2048" t="e">
            <v>#N/A</v>
          </cell>
          <cell r="O2048" t="str">
            <v>Cartridge Hydraulic Filter</v>
          </cell>
        </row>
        <row r="2049">
          <cell r="K2049" t="str">
            <v>LH9390V</v>
          </cell>
          <cell r="L2049" t="str">
            <v>HD</v>
          </cell>
          <cell r="M2049" t="str">
            <v>x</v>
          </cell>
          <cell r="N2049" t="e">
            <v>#N/A</v>
          </cell>
          <cell r="O2049" t="str">
            <v>Cartridge Hydraulic Filter</v>
          </cell>
        </row>
        <row r="2050">
          <cell r="K2050" t="str">
            <v>LH4859V</v>
          </cell>
          <cell r="L2050" t="str">
            <v>HD</v>
          </cell>
          <cell r="M2050" t="str">
            <v>x</v>
          </cell>
          <cell r="N2050" t="e">
            <v>#N/A</v>
          </cell>
          <cell r="O2050" t="str">
            <v>Cartridge Hydraulic Filter</v>
          </cell>
        </row>
        <row r="2051">
          <cell r="K2051" t="str">
            <v>LH22153</v>
          </cell>
          <cell r="L2051" t="str">
            <v>HD</v>
          </cell>
          <cell r="M2051" t="str">
            <v>x</v>
          </cell>
          <cell r="N2051" t="e">
            <v>#N/A</v>
          </cell>
          <cell r="O2051" t="str">
            <v>Cartridge Hydraulic Filter</v>
          </cell>
        </row>
        <row r="2052">
          <cell r="K2052" t="str">
            <v>LP4416</v>
          </cell>
          <cell r="L2052" t="str">
            <v>HD</v>
          </cell>
          <cell r="M2052" t="str">
            <v>x</v>
          </cell>
          <cell r="N2052" t="e">
            <v>#N/A</v>
          </cell>
          <cell r="O2052" t="str">
            <v>Cartridge Hydraulic Filter</v>
          </cell>
        </row>
        <row r="2053">
          <cell r="K2053" t="str">
            <v>L91F</v>
          </cell>
          <cell r="L2053" t="str">
            <v>HD</v>
          </cell>
          <cell r="M2053" t="str">
            <v>x</v>
          </cell>
          <cell r="N2053" t="e">
            <v>#N/A</v>
          </cell>
          <cell r="O2053" t="str">
            <v>Cartridge Fuel Filter</v>
          </cell>
        </row>
        <row r="2054">
          <cell r="K2054" t="str">
            <v>LFF3503</v>
          </cell>
          <cell r="L2054" t="str">
            <v>HD</v>
          </cell>
          <cell r="M2054" t="str">
            <v>x</v>
          </cell>
          <cell r="N2054" t="e">
            <v>#N/A</v>
          </cell>
          <cell r="O2054" t="str">
            <v>Cartridge Fuel Filter</v>
          </cell>
        </row>
        <row r="2055">
          <cell r="K2055" t="str">
            <v>LAF1977</v>
          </cell>
          <cell r="L2055" t="str">
            <v>HD</v>
          </cell>
          <cell r="M2055" t="str">
            <v>x</v>
          </cell>
          <cell r="N2055" t="e">
            <v>#N/A</v>
          </cell>
          <cell r="O2055" t="str">
            <v>HD Metal-End Air Filter-Inner</v>
          </cell>
        </row>
        <row r="2056">
          <cell r="K2056" t="str">
            <v>LAF1964</v>
          </cell>
          <cell r="L2056" t="str">
            <v>HD</v>
          </cell>
          <cell r="M2056" t="str">
            <v>x</v>
          </cell>
          <cell r="N2056" t="e">
            <v>#N/A</v>
          </cell>
          <cell r="O2056" t="str">
            <v>Round Air Filter</v>
          </cell>
        </row>
        <row r="2057">
          <cell r="K2057" t="str">
            <v>LAF1853</v>
          </cell>
          <cell r="L2057" t="str">
            <v>HD</v>
          </cell>
          <cell r="M2057" t="str">
            <v>x</v>
          </cell>
          <cell r="N2057" t="e">
            <v>#N/A</v>
          </cell>
          <cell r="O2057" t="str">
            <v>HD Metal-End Air Filter</v>
          </cell>
        </row>
        <row r="2058">
          <cell r="K2058" t="str">
            <v>LAF1137</v>
          </cell>
          <cell r="L2058" t="str">
            <v>HD</v>
          </cell>
          <cell r="M2058" t="str">
            <v>x</v>
          </cell>
          <cell r="N2058" t="e">
            <v>#N/A</v>
          </cell>
          <cell r="O2058" t="str">
            <v>Metal-End Air Filter with Closed Top End Cap</v>
          </cell>
        </row>
        <row r="2059">
          <cell r="K2059" t="str">
            <v>LAF8768</v>
          </cell>
          <cell r="L2059" t="str">
            <v>HD</v>
          </cell>
          <cell r="M2059" t="str">
            <v>x</v>
          </cell>
          <cell r="N2059" t="e">
            <v>#N/A</v>
          </cell>
          <cell r="O2059" t="str">
            <v>Round Inner Air Filter</v>
          </cell>
        </row>
        <row r="2060">
          <cell r="K2060" t="str">
            <v>LAF1012</v>
          </cell>
          <cell r="L2060" t="str">
            <v>HD</v>
          </cell>
          <cell r="M2060" t="str">
            <v>x</v>
          </cell>
          <cell r="N2060" t="e">
            <v>#N/A</v>
          </cell>
          <cell r="O2060" t="str">
            <v>Round Air Filter</v>
          </cell>
        </row>
        <row r="2061">
          <cell r="K2061" t="str">
            <v>LAF1763</v>
          </cell>
          <cell r="L2061" t="str">
            <v>HD</v>
          </cell>
          <cell r="M2061" t="str">
            <v>x</v>
          </cell>
          <cell r="N2061" t="e">
            <v>#N/A</v>
          </cell>
          <cell r="O2061" t="str">
            <v>HD Round Air Filter with Attached Lid</v>
          </cell>
        </row>
        <row r="2062">
          <cell r="K2062" t="str">
            <v>LAF9089</v>
          </cell>
          <cell r="L2062" t="str">
            <v>HD</v>
          </cell>
          <cell r="M2062" t="str">
            <v>x</v>
          </cell>
          <cell r="N2062" t="e">
            <v>#N/A</v>
          </cell>
          <cell r="O2062" t="str">
            <v>Panel Air Filter Metal Framed</v>
          </cell>
        </row>
        <row r="2063">
          <cell r="K2063" t="str">
            <v>LAF575</v>
          </cell>
          <cell r="L2063" t="str">
            <v>HD</v>
          </cell>
          <cell r="M2063" t="str">
            <v>x</v>
          </cell>
          <cell r="N2063" t="e">
            <v>#N/A</v>
          </cell>
          <cell r="O2063" t="str">
            <v>HD Metal-End Air Filter</v>
          </cell>
        </row>
        <row r="2064">
          <cell r="K2064" t="str">
            <v>LH4921</v>
          </cell>
          <cell r="L2064" t="str">
            <v>HD</v>
          </cell>
          <cell r="M2064" t="str">
            <v>x</v>
          </cell>
          <cell r="N2064" t="e">
            <v>#N/A</v>
          </cell>
          <cell r="O2064" t="str">
            <v>Cartridge Hydraulic Filter</v>
          </cell>
        </row>
        <row r="2065">
          <cell r="K2065" t="str">
            <v>LAF8090</v>
          </cell>
          <cell r="L2065" t="str">
            <v>HD</v>
          </cell>
          <cell r="M2065" t="str">
            <v>x</v>
          </cell>
          <cell r="N2065" t="e">
            <v>#N/A</v>
          </cell>
          <cell r="O2065" t="str">
            <v>HD Metal-End Inner Air Filter</v>
          </cell>
        </row>
        <row r="2066">
          <cell r="K2066" t="str">
            <v>LFH8594</v>
          </cell>
          <cell r="L2066" t="str">
            <v>HD</v>
          </cell>
          <cell r="M2066" t="str">
            <v>x</v>
          </cell>
          <cell r="N2066" t="e">
            <v>#N/A</v>
          </cell>
          <cell r="O2066" t="str">
            <v>Spin-on Hydraulic Filter</v>
          </cell>
        </row>
        <row r="2067">
          <cell r="K2067" t="str">
            <v>LFF8963</v>
          </cell>
          <cell r="L2067" t="str">
            <v>HD</v>
          </cell>
          <cell r="M2067" t="str">
            <v>x</v>
          </cell>
          <cell r="N2067" t="e">
            <v>#N/A</v>
          </cell>
          <cell r="O2067" t="str">
            <v>Spin-on Fuel Filter</v>
          </cell>
        </row>
        <row r="2068">
          <cell r="K2068" t="str">
            <v>LAF8587</v>
          </cell>
          <cell r="L2068" t="str">
            <v>HD</v>
          </cell>
          <cell r="M2068" t="str">
            <v>x</v>
          </cell>
          <cell r="N2068" t="str">
            <v>LAF8587</v>
          </cell>
          <cell r="O2068" t="str">
            <v>HD Metal-End Air Filter-Inner</v>
          </cell>
        </row>
        <row r="2069">
          <cell r="K2069" t="str">
            <v>LK322DF</v>
          </cell>
          <cell r="L2069" t="str">
            <v>HD</v>
          </cell>
          <cell r="M2069" t="str">
            <v>x</v>
          </cell>
          <cell r="N2069" t="e">
            <v>#N/A</v>
          </cell>
          <cell r="O2069" t="str">
            <v>Thermo King Engine Maintenance Kit</v>
          </cell>
        </row>
        <row r="2070">
          <cell r="K2070" t="str">
            <v>LFP2248SC</v>
          </cell>
          <cell r="L2070" t="str">
            <v>HD</v>
          </cell>
          <cell r="M2070" t="str">
            <v>x</v>
          </cell>
          <cell r="N2070" t="e">
            <v>#N/A</v>
          </cell>
          <cell r="O2070" t="str">
            <v>Spin-on Oil Filter</v>
          </cell>
        </row>
        <row r="2071">
          <cell r="K2071" t="str">
            <v>LAF8666</v>
          </cell>
          <cell r="L2071" t="str">
            <v>HD</v>
          </cell>
          <cell r="M2071" t="str">
            <v>x</v>
          </cell>
          <cell r="N2071" t="e">
            <v>#N/A</v>
          </cell>
          <cell r="O2071" t="str">
            <v>HD Round Air Filter with Attached Boot</v>
          </cell>
        </row>
        <row r="2072">
          <cell r="K2072" t="str">
            <v>LAF826</v>
          </cell>
          <cell r="L2072" t="str">
            <v>HD</v>
          </cell>
          <cell r="M2072" t="str">
            <v>x</v>
          </cell>
          <cell r="N2072" t="e">
            <v>#N/A</v>
          </cell>
          <cell r="O2072" t="str">
            <v>HD Metal-End Air Filter</v>
          </cell>
        </row>
        <row r="2073">
          <cell r="K2073" t="str">
            <v>LP2217</v>
          </cell>
          <cell r="L2073" t="str">
            <v>HD</v>
          </cell>
          <cell r="M2073" t="str">
            <v>x</v>
          </cell>
          <cell r="N2073" t="e">
            <v>#N/A</v>
          </cell>
          <cell r="O2073" t="str">
            <v>Cartridge Oil Filter</v>
          </cell>
        </row>
        <row r="2074">
          <cell r="K2074" t="str">
            <v>LP2219</v>
          </cell>
          <cell r="L2074" t="str">
            <v>HD</v>
          </cell>
          <cell r="M2074" t="str">
            <v>x</v>
          </cell>
          <cell r="N2074" t="e">
            <v>#N/A</v>
          </cell>
          <cell r="O2074" t="str">
            <v>Cartridge Oil Filter</v>
          </cell>
        </row>
        <row r="2075">
          <cell r="K2075" t="str">
            <v>LH4946</v>
          </cell>
          <cell r="L2075" t="str">
            <v>HD</v>
          </cell>
          <cell r="M2075" t="str">
            <v>x</v>
          </cell>
          <cell r="N2075" t="e">
            <v>#N/A</v>
          </cell>
          <cell r="O2075" t="str">
            <v>Cartridge Hydraulic Filter</v>
          </cell>
        </row>
        <row r="2076">
          <cell r="K2076" t="str">
            <v>LK294CR</v>
          </cell>
          <cell r="L2076" t="str">
            <v>HD</v>
          </cell>
          <cell r="M2076" t="str">
            <v>x</v>
          </cell>
          <cell r="N2076" t="e">
            <v>#N/A</v>
          </cell>
          <cell r="O2076" t="str">
            <v>Carrier Transcold Engine Maintenance Kit</v>
          </cell>
        </row>
        <row r="2077">
          <cell r="K2077" t="str">
            <v>RETAINING</v>
          </cell>
          <cell r="L2077" t="str">
            <v>HD</v>
          </cell>
          <cell r="M2077" t="str">
            <v>x</v>
          </cell>
          <cell r="N2077" t="e">
            <v>#N/A</v>
          </cell>
          <cell r="O2077" t="str">
            <v>Retaining Ring/F-120, 155, 170</v>
          </cell>
        </row>
        <row r="2078">
          <cell r="K2078">
            <v>500</v>
          </cell>
          <cell r="L2078" t="str">
            <v>HD</v>
          </cell>
          <cell r="M2078" t="str">
            <v>x</v>
          </cell>
          <cell r="N2078" t="e">
            <v>#N/A</v>
          </cell>
          <cell r="O2078" t="str">
            <v>DIESEL PK 500</v>
          </cell>
        </row>
        <row r="2079">
          <cell r="K2079" t="str">
            <v>LFF3545</v>
          </cell>
          <cell r="L2079" t="str">
            <v>HD</v>
          </cell>
          <cell r="M2079" t="str">
            <v>x</v>
          </cell>
          <cell r="N2079" t="e">
            <v>#N/A</v>
          </cell>
          <cell r="O2079" t="str">
            <v>Spin-on Fuel Filter</v>
          </cell>
        </row>
        <row r="2080">
          <cell r="K2080" t="str">
            <v>LAF1715</v>
          </cell>
          <cell r="L2080" t="str">
            <v>HD</v>
          </cell>
          <cell r="M2080" t="str">
            <v>x</v>
          </cell>
          <cell r="N2080" t="e">
            <v>#N/A</v>
          </cell>
          <cell r="O2080" t="str">
            <v>Round Inner Air Filter</v>
          </cell>
        </row>
        <row r="2081">
          <cell r="K2081" t="str">
            <v>LAF1717</v>
          </cell>
          <cell r="L2081" t="str">
            <v>HD</v>
          </cell>
          <cell r="M2081" t="str">
            <v>x</v>
          </cell>
          <cell r="N2081" t="e">
            <v>#N/A</v>
          </cell>
          <cell r="O2081" t="str">
            <v>Round Inner Air Filter</v>
          </cell>
        </row>
        <row r="2082">
          <cell r="K2082" t="str">
            <v>LAF8429</v>
          </cell>
          <cell r="L2082" t="str">
            <v>HD</v>
          </cell>
          <cell r="M2082" t="str">
            <v>x</v>
          </cell>
          <cell r="N2082" t="e">
            <v>#N/A</v>
          </cell>
          <cell r="O2082" t="str">
            <v>Flexible Panel Air Filter</v>
          </cell>
        </row>
        <row r="2083">
          <cell r="K2083" t="str">
            <v>LAF8578</v>
          </cell>
          <cell r="L2083" t="str">
            <v>HD</v>
          </cell>
          <cell r="M2083" t="str">
            <v>x</v>
          </cell>
          <cell r="N2083" t="e">
            <v>#N/A</v>
          </cell>
          <cell r="O2083" t="str">
            <v>Round Air Filter</v>
          </cell>
        </row>
        <row r="2084">
          <cell r="K2084" t="str">
            <v>LH4391</v>
          </cell>
          <cell r="L2084" t="str">
            <v>HD</v>
          </cell>
          <cell r="M2084" t="str">
            <v>x</v>
          </cell>
          <cell r="N2084" t="e">
            <v>#N/A</v>
          </cell>
          <cell r="O2084" t="str">
            <v>Cartridge Hydraulic Filter</v>
          </cell>
        </row>
        <row r="2085">
          <cell r="K2085" t="str">
            <v>LFP670G</v>
          </cell>
          <cell r="L2085" t="str">
            <v>HD</v>
          </cell>
          <cell r="M2085" t="str">
            <v>x</v>
          </cell>
          <cell r="N2085" t="e">
            <v>#N/A</v>
          </cell>
          <cell r="O2085" t="str">
            <v>Extended Life Spin-on Oil Filter</v>
          </cell>
        </row>
        <row r="2086">
          <cell r="K2086" t="str">
            <v>L3519F</v>
          </cell>
          <cell r="L2086" t="str">
            <v>HD</v>
          </cell>
          <cell r="M2086" t="str">
            <v>x</v>
          </cell>
          <cell r="N2086" t="e">
            <v>#N/A</v>
          </cell>
          <cell r="O2086" t="str">
            <v>Cartridge Fuel Filter</v>
          </cell>
        </row>
        <row r="2087">
          <cell r="K2087" t="str">
            <v>LFP8250</v>
          </cell>
          <cell r="L2087" t="str">
            <v>HD</v>
          </cell>
          <cell r="M2087" t="str">
            <v>x</v>
          </cell>
          <cell r="N2087" t="e">
            <v>#N/A</v>
          </cell>
          <cell r="O2087" t="str">
            <v>Spin-on Oil Filter</v>
          </cell>
        </row>
        <row r="2088">
          <cell r="K2088" t="str">
            <v>A340</v>
          </cell>
          <cell r="L2088" t="str">
            <v>HD</v>
          </cell>
          <cell r="M2088" t="str">
            <v>x</v>
          </cell>
          <cell r="N2088" t="e">
            <v>#N/A</v>
          </cell>
          <cell r="O2088" t="str">
            <v>Cartridge to Spin-on conversion kit. Contains adaptor lock plate and gaskets. Use LFP670 oil filter</v>
          </cell>
        </row>
        <row r="2089">
          <cell r="K2089" t="str">
            <v>LH9191</v>
          </cell>
          <cell r="L2089" t="str">
            <v>HD</v>
          </cell>
          <cell r="M2089" t="str">
            <v>x</v>
          </cell>
          <cell r="N2089" t="e">
            <v>#N/A</v>
          </cell>
          <cell r="O2089" t="str">
            <v>Cartridge Hydraulic Filter</v>
          </cell>
        </row>
        <row r="2090">
          <cell r="K2090" t="str">
            <v>L3548F</v>
          </cell>
          <cell r="L2090" t="str">
            <v>HD</v>
          </cell>
          <cell r="M2090" t="str">
            <v>x</v>
          </cell>
          <cell r="N2090" t="e">
            <v>#N/A</v>
          </cell>
          <cell r="O2090" t="str">
            <v>Cartridge Fuel Filter</v>
          </cell>
        </row>
        <row r="2091">
          <cell r="K2091" t="str">
            <v>LAF8970</v>
          </cell>
          <cell r="L2091" t="str">
            <v>HD</v>
          </cell>
          <cell r="M2091" t="str">
            <v>x</v>
          </cell>
          <cell r="N2091" t="e">
            <v>#N/A</v>
          </cell>
          <cell r="O2091" t="str">
            <v>HD Metal-End Air Filter</v>
          </cell>
        </row>
        <row r="2092">
          <cell r="K2092" t="str">
            <v>LAF1930</v>
          </cell>
          <cell r="L2092" t="str">
            <v>HD</v>
          </cell>
          <cell r="M2092" t="str">
            <v>x</v>
          </cell>
          <cell r="N2092" t="e">
            <v>#N/A</v>
          </cell>
          <cell r="O2092" t="str">
            <v>HD Metal-End Inner Air Filter</v>
          </cell>
        </row>
        <row r="2093">
          <cell r="K2093" t="str">
            <v>LH4238</v>
          </cell>
          <cell r="L2093" t="str">
            <v>HD</v>
          </cell>
          <cell r="M2093" t="str">
            <v>x</v>
          </cell>
          <cell r="N2093" t="e">
            <v>#N/A</v>
          </cell>
          <cell r="O2093" t="str">
            <v>Cartridge Hydraulic Filter</v>
          </cell>
        </row>
        <row r="2094">
          <cell r="K2094" t="str">
            <v>LFF6961</v>
          </cell>
          <cell r="L2094" t="str">
            <v>HD</v>
          </cell>
          <cell r="M2094" t="str">
            <v>x</v>
          </cell>
          <cell r="N2094" t="e">
            <v>#N/A</v>
          </cell>
          <cell r="O2094" t="str">
            <v>Spin-on Fuel Water Separator Filter</v>
          </cell>
        </row>
        <row r="2095">
          <cell r="K2095" t="str">
            <v>LAF379</v>
          </cell>
          <cell r="L2095" t="str">
            <v>HD</v>
          </cell>
          <cell r="M2095" t="str">
            <v>x</v>
          </cell>
          <cell r="N2095" t="e">
            <v>#N/A</v>
          </cell>
          <cell r="O2095" t="str">
            <v>Round Inner Air Filter with Flanged Endcap</v>
          </cell>
        </row>
        <row r="2096">
          <cell r="K2096" t="str">
            <v>LH4991</v>
          </cell>
          <cell r="L2096" t="str">
            <v>HD</v>
          </cell>
          <cell r="M2096" t="str">
            <v>x</v>
          </cell>
          <cell r="N2096" t="e">
            <v>#N/A</v>
          </cell>
          <cell r="O2096" t="str">
            <v>Cartridge Hydraulic Filter</v>
          </cell>
        </row>
        <row r="2097">
          <cell r="K2097" t="str">
            <v>LH4963</v>
          </cell>
          <cell r="L2097" t="str">
            <v>HD</v>
          </cell>
          <cell r="M2097" t="str">
            <v>x</v>
          </cell>
          <cell r="N2097" t="e">
            <v>#N/A</v>
          </cell>
          <cell r="O2097" t="str">
            <v>Cartridge Hydraulic Filter</v>
          </cell>
        </row>
        <row r="2098">
          <cell r="K2098" t="str">
            <v>LAF1957</v>
          </cell>
          <cell r="L2098" t="str">
            <v>HD</v>
          </cell>
          <cell r="M2098" t="str">
            <v>x</v>
          </cell>
          <cell r="N2098" t="e">
            <v>#N/A</v>
          </cell>
          <cell r="O2098" t="str">
            <v>Round Inner Air Filter with Flanged Endcap</v>
          </cell>
        </row>
        <row r="2099">
          <cell r="K2099" t="str">
            <v>LAF9548</v>
          </cell>
          <cell r="L2099" t="str">
            <v>HD</v>
          </cell>
          <cell r="M2099" t="str">
            <v>x</v>
          </cell>
          <cell r="N2099" t="e">
            <v>#N/A</v>
          </cell>
          <cell r="O2099" t="str">
            <v>Radial Seal Inner Air Filter</v>
          </cell>
        </row>
        <row r="2100">
          <cell r="K2100" t="str">
            <v>LAF3754</v>
          </cell>
          <cell r="L2100" t="str">
            <v>HD</v>
          </cell>
          <cell r="M2100" t="str">
            <v>x</v>
          </cell>
          <cell r="N2100" t="e">
            <v>#N/A</v>
          </cell>
          <cell r="O2100" t="str">
            <v>Metal-End Air Filter with Closed Top End Cap</v>
          </cell>
        </row>
        <row r="2101">
          <cell r="K2101" t="str">
            <v>LAF1472</v>
          </cell>
          <cell r="L2101" t="str">
            <v>HD</v>
          </cell>
          <cell r="M2101" t="str">
            <v>x</v>
          </cell>
          <cell r="N2101" t="e">
            <v>#N/A</v>
          </cell>
          <cell r="O2101" t="str">
            <v>HD Metal-End Air Filter</v>
          </cell>
        </row>
        <row r="2102">
          <cell r="K2102" t="str">
            <v>LP8232</v>
          </cell>
          <cell r="L2102" t="str">
            <v>HD</v>
          </cell>
          <cell r="M2102" t="str">
            <v>x</v>
          </cell>
          <cell r="N2102" t="e">
            <v>#N/A</v>
          </cell>
          <cell r="O2102" t="str">
            <v>Cartridge Hydraulic Filter</v>
          </cell>
        </row>
        <row r="2103">
          <cell r="K2103" t="str">
            <v>LAF745</v>
          </cell>
          <cell r="L2103" t="str">
            <v>HD</v>
          </cell>
          <cell r="M2103" t="str">
            <v>x</v>
          </cell>
          <cell r="N2103" t="e">
            <v>#N/A</v>
          </cell>
          <cell r="O2103" t="str">
            <v>Round Inner Air Filter with Flanged Endcap</v>
          </cell>
        </row>
        <row r="2104">
          <cell r="K2104" t="str">
            <v>LAF225</v>
          </cell>
          <cell r="L2104" t="str">
            <v>HD</v>
          </cell>
          <cell r="M2104" t="str">
            <v>x</v>
          </cell>
          <cell r="N2104" t="e">
            <v>#N/A</v>
          </cell>
          <cell r="O2104" t="str">
            <v>Round Air Filter</v>
          </cell>
        </row>
        <row r="2105">
          <cell r="K2105" t="str">
            <v>LAF8696</v>
          </cell>
          <cell r="L2105" t="str">
            <v>HD</v>
          </cell>
          <cell r="M2105" t="str">
            <v>x</v>
          </cell>
          <cell r="N2105" t="e">
            <v>#N/A</v>
          </cell>
          <cell r="O2105" t="str">
            <v>Rigid Panel Air Filter</v>
          </cell>
        </row>
        <row r="2106">
          <cell r="K2106" t="str">
            <v>LAF1265</v>
          </cell>
          <cell r="L2106" t="str">
            <v>HD</v>
          </cell>
          <cell r="M2106" t="str">
            <v>x</v>
          </cell>
          <cell r="N2106" t="e">
            <v>#N/A</v>
          </cell>
          <cell r="O2106" t="str">
            <v>HD Metal-End Air Filter with Attached Lid</v>
          </cell>
        </row>
        <row r="2107">
          <cell r="K2107" t="str">
            <v>LAF4169</v>
          </cell>
          <cell r="L2107" t="str">
            <v>HD</v>
          </cell>
          <cell r="M2107" t="str">
            <v>x</v>
          </cell>
          <cell r="N2107" t="e">
            <v>#N/A</v>
          </cell>
          <cell r="O2107" t="str">
            <v>Finned Vane Air Filter</v>
          </cell>
        </row>
        <row r="2108">
          <cell r="K2108" t="str">
            <v>LFP5772</v>
          </cell>
          <cell r="L2108" t="str">
            <v>HD</v>
          </cell>
          <cell r="M2108" t="str">
            <v>x</v>
          </cell>
          <cell r="N2108" t="e">
            <v>#N/A</v>
          </cell>
          <cell r="O2108" t="str">
            <v>Spin-on Oil Filter</v>
          </cell>
        </row>
        <row r="2109">
          <cell r="K2109" t="str">
            <v>LFH8456</v>
          </cell>
          <cell r="L2109" t="str">
            <v>HD</v>
          </cell>
          <cell r="M2109" t="str">
            <v>x</v>
          </cell>
          <cell r="N2109" t="e">
            <v>#N/A</v>
          </cell>
          <cell r="O2109" t="str">
            <v>Spin-on Hydraulic Filter</v>
          </cell>
        </row>
        <row r="2110">
          <cell r="K2110" t="str">
            <v>LFF3291</v>
          </cell>
          <cell r="L2110" t="str">
            <v>HD</v>
          </cell>
          <cell r="M2110" t="str">
            <v>x</v>
          </cell>
          <cell r="N2110" t="e">
            <v>#N/A</v>
          </cell>
          <cell r="O2110" t="str">
            <v>Spin-on Fuel Filter</v>
          </cell>
        </row>
        <row r="2111">
          <cell r="K2111" t="str">
            <v>LAF25</v>
          </cell>
          <cell r="L2111" t="str">
            <v>HD</v>
          </cell>
          <cell r="M2111" t="str">
            <v>x</v>
          </cell>
          <cell r="N2111" t="e">
            <v>#N/A</v>
          </cell>
          <cell r="O2111" t="str">
            <v>Round Air Filter</v>
          </cell>
        </row>
        <row r="2112">
          <cell r="K2112" t="str">
            <v>LAF8773</v>
          </cell>
          <cell r="L2112" t="str">
            <v>HD</v>
          </cell>
          <cell r="M2112" t="str">
            <v>x</v>
          </cell>
          <cell r="N2112" t="e">
            <v>#N/A</v>
          </cell>
          <cell r="O2112" t="str">
            <v>Radial Seal Outer Air Filter</v>
          </cell>
        </row>
        <row r="2113">
          <cell r="K2113" t="str">
            <v>LAF8485</v>
          </cell>
          <cell r="L2113" t="str">
            <v>HD</v>
          </cell>
          <cell r="M2113" t="str">
            <v>x</v>
          </cell>
          <cell r="N2113" t="e">
            <v>#N/A</v>
          </cell>
          <cell r="O2113" t="str">
            <v>Panel Air Filter Metal Framed</v>
          </cell>
        </row>
        <row r="2114">
          <cell r="K2114" t="str">
            <v>LAF8338</v>
          </cell>
          <cell r="L2114" t="str">
            <v>HD</v>
          </cell>
          <cell r="M2114" t="str">
            <v>x</v>
          </cell>
          <cell r="N2114" t="e">
            <v>#N/A</v>
          </cell>
          <cell r="O2114" t="str">
            <v>Oval Air Filter</v>
          </cell>
        </row>
        <row r="2115">
          <cell r="K2115" t="str">
            <v>LAF6587MXM</v>
          </cell>
          <cell r="L2115" t="str">
            <v>HD</v>
          </cell>
          <cell r="M2115" t="str">
            <v>x</v>
          </cell>
          <cell r="N2115" t="e">
            <v>#N/A</v>
          </cell>
          <cell r="O2115" t="str">
            <v xml:space="preserve">Nano Tech Air Filter HD Metal-End </v>
          </cell>
        </row>
        <row r="2116">
          <cell r="K2116" t="str">
            <v>LAF1146</v>
          </cell>
          <cell r="L2116" t="str">
            <v>HD</v>
          </cell>
          <cell r="M2116" t="str">
            <v>x</v>
          </cell>
          <cell r="N2116" t="e">
            <v>#N/A</v>
          </cell>
          <cell r="O2116" t="str">
            <v>Metal-End Air Filter with Closed Top End Cap</v>
          </cell>
        </row>
        <row r="2117">
          <cell r="K2117" t="str">
            <v>LH11030V</v>
          </cell>
          <cell r="L2117" t="str">
            <v>HD</v>
          </cell>
          <cell r="M2117" t="str">
            <v>x</v>
          </cell>
          <cell r="N2117" t="e">
            <v>#N/A</v>
          </cell>
          <cell r="O2117" t="str">
            <v>Industrial Cartridge Hydraulic Filter</v>
          </cell>
        </row>
        <row r="2118">
          <cell r="K2118" t="str">
            <v>LAF1764</v>
          </cell>
          <cell r="L2118" t="str">
            <v>HD</v>
          </cell>
          <cell r="M2118" t="str">
            <v>x</v>
          </cell>
          <cell r="N2118" t="e">
            <v>#N/A</v>
          </cell>
          <cell r="O2118" t="str">
            <v>HD Round Air Filter with Attached Lid</v>
          </cell>
        </row>
        <row r="2119">
          <cell r="K2119" t="str">
            <v>LAF8616</v>
          </cell>
          <cell r="L2119" t="str">
            <v>HD</v>
          </cell>
          <cell r="M2119" t="str">
            <v>x</v>
          </cell>
          <cell r="N2119" t="e">
            <v>#N/A</v>
          </cell>
          <cell r="O2119" t="str">
            <v>HD Round Air Filter with Attached Lid</v>
          </cell>
        </row>
        <row r="2120">
          <cell r="K2120" t="str">
            <v>LAF8585</v>
          </cell>
          <cell r="L2120" t="str">
            <v>HD</v>
          </cell>
          <cell r="M2120" t="str">
            <v>x</v>
          </cell>
          <cell r="N2120" t="e">
            <v>#N/A</v>
          </cell>
          <cell r="O2120" t="str">
            <v>HD Metal-End Air Filter-Inner</v>
          </cell>
        </row>
        <row r="2121">
          <cell r="K2121" t="str">
            <v>LAF8584</v>
          </cell>
          <cell r="L2121" t="str">
            <v>HD</v>
          </cell>
          <cell r="M2121" t="str">
            <v>x</v>
          </cell>
          <cell r="N2121" t="e">
            <v>#N/A</v>
          </cell>
          <cell r="O2121" t="str">
            <v>HD Metal-End Air Filter with Attached Lid</v>
          </cell>
        </row>
        <row r="2122">
          <cell r="K2122" t="str">
            <v>LAF8631</v>
          </cell>
          <cell r="L2122" t="str">
            <v>HD</v>
          </cell>
          <cell r="M2122" t="str">
            <v>x</v>
          </cell>
          <cell r="N2122" t="e">
            <v>#N/A</v>
          </cell>
          <cell r="O2122" t="str">
            <v>HD Metal-End Air Filter with Attached Lid</v>
          </cell>
        </row>
        <row r="2123">
          <cell r="K2123" t="str">
            <v>LAF1460</v>
          </cell>
          <cell r="L2123" t="str">
            <v>HD</v>
          </cell>
          <cell r="M2123" t="str">
            <v>x</v>
          </cell>
          <cell r="N2123" t="str">
            <v>LAF1460</v>
          </cell>
          <cell r="O2123" t="str">
            <v>HD Metal-End Air Filter</v>
          </cell>
        </row>
        <row r="2124">
          <cell r="K2124" t="str">
            <v>LAF4121</v>
          </cell>
          <cell r="L2124" t="str">
            <v>HD</v>
          </cell>
          <cell r="M2124" t="str">
            <v>x</v>
          </cell>
          <cell r="N2124" t="e">
            <v>#N/A</v>
          </cell>
          <cell r="O2124" t="str">
            <v>HD Metal-End Air Filter</v>
          </cell>
        </row>
        <row r="2125">
          <cell r="K2125" t="str">
            <v>LAF1935</v>
          </cell>
          <cell r="L2125" t="str">
            <v>HD</v>
          </cell>
          <cell r="M2125" t="str">
            <v>x</v>
          </cell>
          <cell r="N2125" t="e">
            <v>#N/A</v>
          </cell>
          <cell r="O2125" t="str">
            <v>HD Metal-End Air Filter</v>
          </cell>
        </row>
        <row r="2126">
          <cell r="K2126" t="str">
            <v>LAF4193</v>
          </cell>
          <cell r="L2126" t="str">
            <v>HD</v>
          </cell>
          <cell r="M2126" t="str">
            <v>x</v>
          </cell>
          <cell r="N2126" t="e">
            <v>#N/A</v>
          </cell>
          <cell r="O2126" t="str">
            <v>HD Metal-End Air Filter</v>
          </cell>
        </row>
        <row r="2127">
          <cell r="K2127" t="str">
            <v>LAF1753</v>
          </cell>
          <cell r="L2127" t="str">
            <v>HD</v>
          </cell>
          <cell r="M2127" t="str">
            <v>x</v>
          </cell>
          <cell r="N2127" t="e">
            <v>#N/A</v>
          </cell>
          <cell r="O2127" t="str">
            <v>HD Metal-End Air Filter</v>
          </cell>
        </row>
        <row r="2128">
          <cell r="K2128" t="str">
            <v>LAF8997</v>
          </cell>
          <cell r="L2128" t="str">
            <v>HD</v>
          </cell>
          <cell r="M2128" t="str">
            <v>x</v>
          </cell>
          <cell r="N2128" t="e">
            <v>#N/A</v>
          </cell>
          <cell r="O2128" t="str">
            <v>HD Metal-End Air Filter</v>
          </cell>
        </row>
        <row r="2129">
          <cell r="K2129" t="str">
            <v>LAF3586</v>
          </cell>
          <cell r="L2129" t="str">
            <v>HD</v>
          </cell>
          <cell r="M2129" t="str">
            <v>x</v>
          </cell>
          <cell r="N2129" t="e">
            <v>#N/A</v>
          </cell>
          <cell r="O2129" t="str">
            <v>HD Metal-End Air Filter</v>
          </cell>
        </row>
        <row r="2130">
          <cell r="K2130" t="str">
            <v>LAF1762</v>
          </cell>
          <cell r="L2130" t="str">
            <v>HD</v>
          </cell>
          <cell r="M2130" t="str">
            <v>x</v>
          </cell>
          <cell r="N2130" t="e">
            <v>#N/A</v>
          </cell>
          <cell r="O2130" t="str">
            <v>HD Metal-End Air Filter</v>
          </cell>
        </row>
        <row r="2131">
          <cell r="K2131" t="str">
            <v>LAF5781</v>
          </cell>
          <cell r="L2131" t="str">
            <v>HD</v>
          </cell>
          <cell r="M2131" t="str">
            <v>x</v>
          </cell>
          <cell r="N2131" t="e">
            <v>#N/A</v>
          </cell>
          <cell r="O2131" t="str">
            <v>Flexible Panel Air Filter</v>
          </cell>
        </row>
        <row r="2132">
          <cell r="K2132" t="str">
            <v>LAF8729</v>
          </cell>
          <cell r="L2132" t="str">
            <v>HD</v>
          </cell>
          <cell r="M2132" t="str">
            <v>x</v>
          </cell>
          <cell r="N2132" t="e">
            <v>#N/A</v>
          </cell>
          <cell r="O2132" t="str">
            <v>Finned Vane Air Filter</v>
          </cell>
        </row>
        <row r="2133">
          <cell r="K2133" t="str">
            <v>LAF4175</v>
          </cell>
          <cell r="L2133" t="str">
            <v>HD</v>
          </cell>
          <cell r="M2133" t="str">
            <v>x</v>
          </cell>
          <cell r="N2133" t="e">
            <v>#N/A</v>
          </cell>
          <cell r="O2133" t="str">
            <v>Finned Vane Air Filter</v>
          </cell>
        </row>
        <row r="2134">
          <cell r="K2134" t="str">
            <v>LAF4207</v>
          </cell>
          <cell r="L2134" t="str">
            <v>HD</v>
          </cell>
          <cell r="M2134" t="str">
            <v>x</v>
          </cell>
          <cell r="N2134" t="e">
            <v>#N/A</v>
          </cell>
          <cell r="O2134" t="str">
            <v>Finned Vane Air Filter</v>
          </cell>
        </row>
        <row r="2135">
          <cell r="K2135" t="str">
            <v>LAF1968</v>
          </cell>
          <cell r="L2135" t="str">
            <v>HD</v>
          </cell>
          <cell r="M2135" t="str">
            <v>x</v>
          </cell>
          <cell r="N2135" t="e">
            <v>#N/A</v>
          </cell>
          <cell r="O2135" t="str">
            <v>Disposible Housing Air Filter</v>
          </cell>
        </row>
        <row r="2136">
          <cell r="K2136" t="str">
            <v>LP8719</v>
          </cell>
          <cell r="L2136" t="str">
            <v>HD</v>
          </cell>
          <cell r="M2136" t="str">
            <v>x</v>
          </cell>
          <cell r="N2136" t="e">
            <v>#N/A</v>
          </cell>
          <cell r="O2136" t="str">
            <v>Cartridge Oil Filter</v>
          </cell>
        </row>
        <row r="2137">
          <cell r="K2137" t="str">
            <v>LP8278</v>
          </cell>
          <cell r="L2137" t="str">
            <v>HD</v>
          </cell>
          <cell r="M2137" t="str">
            <v>x</v>
          </cell>
          <cell r="N2137" t="e">
            <v>#N/A</v>
          </cell>
          <cell r="O2137" t="str">
            <v>Cartridge Oil Filter</v>
          </cell>
        </row>
        <row r="2138">
          <cell r="K2138" t="str">
            <v>LP176</v>
          </cell>
          <cell r="L2138" t="str">
            <v>HD</v>
          </cell>
          <cell r="M2138" t="str">
            <v>x</v>
          </cell>
          <cell r="N2138" t="e">
            <v>#N/A</v>
          </cell>
          <cell r="O2138" t="str">
            <v>Cartridge Oil Filter</v>
          </cell>
        </row>
        <row r="2139">
          <cell r="K2139" t="str">
            <v>LP5041</v>
          </cell>
          <cell r="L2139" t="str">
            <v>HD</v>
          </cell>
          <cell r="M2139" t="str">
            <v>x</v>
          </cell>
          <cell r="N2139" t="e">
            <v>#N/A</v>
          </cell>
          <cell r="O2139" t="str">
            <v>Cartridge Oil Filter</v>
          </cell>
        </row>
        <row r="2140">
          <cell r="K2140" t="str">
            <v>LP5040</v>
          </cell>
          <cell r="L2140" t="str">
            <v>HD</v>
          </cell>
          <cell r="M2140" t="str">
            <v>x</v>
          </cell>
          <cell r="N2140" t="e">
            <v>#N/A</v>
          </cell>
          <cell r="O2140" t="str">
            <v>Cartridge Oil Filter</v>
          </cell>
        </row>
        <row r="2141">
          <cell r="K2141" t="str">
            <v>LH4239</v>
          </cell>
          <cell r="L2141" t="str">
            <v>HD</v>
          </cell>
          <cell r="M2141" t="str">
            <v>x</v>
          </cell>
          <cell r="N2141" t="e">
            <v>#N/A</v>
          </cell>
          <cell r="O2141" t="str">
            <v>Cartridge Hydraulic Filter</v>
          </cell>
        </row>
        <row r="2142">
          <cell r="K2142" t="str">
            <v>LH95315V</v>
          </cell>
          <cell r="L2142" t="str">
            <v>HD</v>
          </cell>
          <cell r="M2142" t="str">
            <v>x</v>
          </cell>
          <cell r="N2142" t="e">
            <v>#N/A</v>
          </cell>
          <cell r="O2142" t="str">
            <v>Cartridge Hydraulic Filter</v>
          </cell>
        </row>
        <row r="2143">
          <cell r="K2143" t="str">
            <v>LH95361V</v>
          </cell>
          <cell r="L2143" t="str">
            <v>HD</v>
          </cell>
          <cell r="M2143" t="str">
            <v>x</v>
          </cell>
          <cell r="N2143" t="e">
            <v>#N/A</v>
          </cell>
          <cell r="O2143" t="str">
            <v>Cartridge Hydraulic Filter</v>
          </cell>
        </row>
        <row r="2144">
          <cell r="K2144" t="str">
            <v>P422</v>
          </cell>
          <cell r="L2144" t="str">
            <v>HD</v>
          </cell>
          <cell r="M2144" t="str">
            <v>x</v>
          </cell>
          <cell r="N2144" t="e">
            <v>#N/A</v>
          </cell>
          <cell r="O2144" t="str">
            <v>Cartridge Hydraulic Filter</v>
          </cell>
        </row>
        <row r="2145">
          <cell r="K2145" t="str">
            <v>LH4270</v>
          </cell>
          <cell r="L2145" t="str">
            <v>HD</v>
          </cell>
          <cell r="M2145" t="str">
            <v>x</v>
          </cell>
          <cell r="N2145" t="e">
            <v>#N/A</v>
          </cell>
          <cell r="O2145" t="str">
            <v>Cartridge Hydraulic Filter</v>
          </cell>
        </row>
        <row r="2146">
          <cell r="K2146" t="str">
            <v>L155F</v>
          </cell>
          <cell r="L2146" t="str">
            <v>HD</v>
          </cell>
          <cell r="M2146" t="str">
            <v>x</v>
          </cell>
          <cell r="N2146" t="e">
            <v>#N/A</v>
          </cell>
          <cell r="O2146" t="str">
            <v>Cartridge Fuel Filter</v>
          </cell>
        </row>
        <row r="2147">
          <cell r="K2147" t="str">
            <v>LAF4738</v>
          </cell>
          <cell r="L2147" t="str">
            <v>HD</v>
          </cell>
          <cell r="M2147" t="str">
            <v>x</v>
          </cell>
          <cell r="N2147" t="e">
            <v>#N/A</v>
          </cell>
          <cell r="O2147" t="str">
            <v>HD Metal-End Air Filter</v>
          </cell>
        </row>
        <row r="2148">
          <cell r="K2148" t="str">
            <v>LP5597</v>
          </cell>
          <cell r="L2148" t="str">
            <v>HD</v>
          </cell>
          <cell r="M2148" t="str">
            <v>x</v>
          </cell>
          <cell r="N2148" t="e">
            <v>#N/A</v>
          </cell>
          <cell r="O2148" t="str">
            <v>Cartridge Oil Filter</v>
          </cell>
        </row>
        <row r="2149">
          <cell r="K2149" t="str">
            <v>L8924F</v>
          </cell>
          <cell r="L2149" t="str">
            <v>HD</v>
          </cell>
          <cell r="M2149" t="str">
            <v>x</v>
          </cell>
          <cell r="N2149" t="e">
            <v>#N/A</v>
          </cell>
          <cell r="O2149" t="str">
            <v>Cartridge Fuel Filter</v>
          </cell>
        </row>
        <row r="2150">
          <cell r="K2150" t="str">
            <v>LAF1741</v>
          </cell>
          <cell r="L2150" t="str">
            <v>HD</v>
          </cell>
          <cell r="M2150" t="str">
            <v>x</v>
          </cell>
          <cell r="N2150" t="e">
            <v>#N/A</v>
          </cell>
          <cell r="O2150" t="str">
            <v>HD Metal-End Air Filter</v>
          </cell>
        </row>
        <row r="2151">
          <cell r="K2151" t="str">
            <v>LFP8295</v>
          </cell>
          <cell r="L2151" t="str">
            <v>HD</v>
          </cell>
          <cell r="M2151" t="str">
            <v>x</v>
          </cell>
          <cell r="N2151" t="e">
            <v>#N/A</v>
          </cell>
          <cell r="O2151" t="str">
            <v>Spin-on Oil Filter</v>
          </cell>
        </row>
        <row r="2152">
          <cell r="K2152" t="str">
            <v>LK1M</v>
          </cell>
          <cell r="L2152" t="str">
            <v>HD</v>
          </cell>
          <cell r="M2152" t="str">
            <v>x</v>
          </cell>
          <cell r="N2152" t="e">
            <v>#N/A</v>
          </cell>
          <cell r="O2152" t="str">
            <v>Mack Engine Maintenance Kit</v>
          </cell>
        </row>
        <row r="2153">
          <cell r="K2153" t="str">
            <v>LAF1791</v>
          </cell>
          <cell r="L2153" t="str">
            <v>HD</v>
          </cell>
          <cell r="M2153" t="str">
            <v>x</v>
          </cell>
          <cell r="N2153" t="e">
            <v>#N/A</v>
          </cell>
          <cell r="O2153" t="str">
            <v>Finned Vane Air Filter</v>
          </cell>
        </row>
        <row r="2154">
          <cell r="K2154" t="str">
            <v>LAF1946</v>
          </cell>
          <cell r="L2154" t="str">
            <v>HD</v>
          </cell>
          <cell r="M2154" t="str">
            <v>x</v>
          </cell>
          <cell r="N2154" t="e">
            <v>#N/A</v>
          </cell>
          <cell r="O2154" t="str">
            <v>Round Air Filter with Flanged Endcap</v>
          </cell>
        </row>
        <row r="2155">
          <cell r="K2155" t="str">
            <v>LAF4126</v>
          </cell>
          <cell r="L2155" t="str">
            <v>HD</v>
          </cell>
          <cell r="M2155" t="str">
            <v>x</v>
          </cell>
          <cell r="N2155" t="e">
            <v>#N/A</v>
          </cell>
          <cell r="O2155" t="str">
            <v>Panel Air Filter Metal Framed</v>
          </cell>
        </row>
        <row r="2156">
          <cell r="K2156" t="str">
            <v>LAF8833</v>
          </cell>
          <cell r="L2156" t="str">
            <v>HD</v>
          </cell>
          <cell r="M2156" t="str">
            <v>x</v>
          </cell>
          <cell r="N2156" t="e">
            <v>#N/A</v>
          </cell>
          <cell r="O2156" t="str">
            <v>HD Metal-End Air Filter with Attached Lid</v>
          </cell>
        </row>
        <row r="2157">
          <cell r="K2157" t="str">
            <v>LFW5870</v>
          </cell>
          <cell r="L2157" t="str">
            <v>HD</v>
          </cell>
          <cell r="M2157" t="str">
            <v>x</v>
          </cell>
          <cell r="N2157" t="e">
            <v>#N/A</v>
          </cell>
          <cell r="O2157" t="str">
            <v>Spin-on Coolant Filter</v>
          </cell>
        </row>
        <row r="2158">
          <cell r="K2158" t="str">
            <v>LFH4432</v>
          </cell>
          <cell r="L2158" t="str">
            <v>HD</v>
          </cell>
          <cell r="M2158" t="str">
            <v>x</v>
          </cell>
          <cell r="N2158" t="e">
            <v>#N/A</v>
          </cell>
          <cell r="O2158" t="str">
            <v>Spin-on Hydraulic Filter</v>
          </cell>
        </row>
        <row r="2159">
          <cell r="K2159" t="str">
            <v>LAF5955</v>
          </cell>
          <cell r="L2159" t="str">
            <v>HD</v>
          </cell>
          <cell r="M2159" t="str">
            <v>x</v>
          </cell>
          <cell r="N2159" t="e">
            <v>#N/A</v>
          </cell>
          <cell r="O2159" t="str">
            <v>Radial Seal Inner Air Filter</v>
          </cell>
        </row>
        <row r="2160">
          <cell r="K2160" t="str">
            <v>LAF884</v>
          </cell>
          <cell r="L2160" t="str">
            <v>HD</v>
          </cell>
          <cell r="M2160" t="str">
            <v>x</v>
          </cell>
          <cell r="N2160" t="e">
            <v>#N/A</v>
          </cell>
          <cell r="O2160" t="str">
            <v>Metal-End Air Filter with Closed Top End Cap</v>
          </cell>
        </row>
        <row r="2161">
          <cell r="K2161" t="str">
            <v>LAF5889</v>
          </cell>
          <cell r="L2161" t="str">
            <v>HD</v>
          </cell>
          <cell r="M2161" t="str">
            <v>x</v>
          </cell>
          <cell r="N2161" t="e">
            <v>#N/A</v>
          </cell>
          <cell r="O2161" t="str">
            <v>HD Metal-End Air Filter with Attached Lid</v>
          </cell>
        </row>
        <row r="2162">
          <cell r="K2162" t="str">
            <v>LFH8243</v>
          </cell>
          <cell r="L2162" t="str">
            <v>HD</v>
          </cell>
          <cell r="M2162" t="str">
            <v>x</v>
          </cell>
          <cell r="N2162" t="e">
            <v>#N/A</v>
          </cell>
          <cell r="O2162" t="str">
            <v>Spin-on Hydraulic Filter</v>
          </cell>
        </row>
        <row r="2163">
          <cell r="K2163" t="str">
            <v>LAF4350</v>
          </cell>
          <cell r="L2163" t="str">
            <v>HD</v>
          </cell>
          <cell r="M2163" t="str">
            <v>x</v>
          </cell>
          <cell r="N2163" t="e">
            <v>#N/A</v>
          </cell>
          <cell r="O2163" t="str">
            <v>Round Inner Air Filter with Flanged Endcap</v>
          </cell>
        </row>
        <row r="2164">
          <cell r="K2164" t="str">
            <v>LAF6299</v>
          </cell>
          <cell r="L2164" t="str">
            <v>HD</v>
          </cell>
          <cell r="M2164" t="str">
            <v>x</v>
          </cell>
          <cell r="N2164" t="e">
            <v>#N/A</v>
          </cell>
          <cell r="O2164" t="str">
            <v>Metal-End Air Filter with Closed Top End Cap</v>
          </cell>
        </row>
        <row r="2165">
          <cell r="K2165" t="str">
            <v>LAF4310</v>
          </cell>
          <cell r="L2165" t="str">
            <v>HD</v>
          </cell>
          <cell r="M2165" t="str">
            <v>x</v>
          </cell>
          <cell r="N2165" t="e">
            <v>#N/A</v>
          </cell>
          <cell r="O2165" t="str">
            <v>HD Metal-End Air Filter with Attached Lid</v>
          </cell>
        </row>
        <row r="2166">
          <cell r="K2166" t="str">
            <v>LAF8695</v>
          </cell>
          <cell r="L2166" t="str">
            <v>HD</v>
          </cell>
          <cell r="M2166" t="str">
            <v>x</v>
          </cell>
          <cell r="N2166" t="e">
            <v>#N/A</v>
          </cell>
          <cell r="O2166" t="str">
            <v>HD Metal-End Air Filter</v>
          </cell>
        </row>
        <row r="2167">
          <cell r="K2167" t="str">
            <v>LAF22006</v>
          </cell>
          <cell r="L2167" t="str">
            <v>HD</v>
          </cell>
          <cell r="M2167" t="str">
            <v>x</v>
          </cell>
          <cell r="N2167" t="e">
            <v>#N/A</v>
          </cell>
          <cell r="O2167" t="str">
            <v>Disposible Housing Air Filter</v>
          </cell>
        </row>
        <row r="2168">
          <cell r="K2168" t="str">
            <v>LH4100</v>
          </cell>
          <cell r="L2168" t="str">
            <v>HD</v>
          </cell>
          <cell r="M2168" t="str">
            <v>x</v>
          </cell>
          <cell r="N2168" t="e">
            <v>#N/A</v>
          </cell>
          <cell r="O2168" t="str">
            <v>Cartridge Hydraulic Filter</v>
          </cell>
        </row>
        <row r="2169">
          <cell r="K2169" t="str">
            <v>LH9406V</v>
          </cell>
          <cell r="L2169" t="str">
            <v>HD</v>
          </cell>
          <cell r="M2169" t="str">
            <v>x</v>
          </cell>
          <cell r="N2169" t="e">
            <v>#N/A</v>
          </cell>
          <cell r="O2169" t="str">
            <v>Cartridge Hydraulic Filter</v>
          </cell>
        </row>
        <row r="2170">
          <cell r="K2170" t="str">
            <v>L4119F</v>
          </cell>
          <cell r="L2170" t="str">
            <v>HD</v>
          </cell>
          <cell r="M2170" t="str">
            <v>x</v>
          </cell>
          <cell r="N2170" t="e">
            <v>#N/A</v>
          </cell>
          <cell r="O2170" t="str">
            <v>Cartridge Fuel Filter</v>
          </cell>
        </row>
        <row r="2171">
          <cell r="K2171" t="str">
            <v>L3570F</v>
          </cell>
          <cell r="L2171" t="str">
            <v>HD</v>
          </cell>
          <cell r="M2171" t="str">
            <v>x</v>
          </cell>
          <cell r="N2171" t="e">
            <v>#N/A</v>
          </cell>
          <cell r="O2171" t="str">
            <v>Cartridge Fuel Filter</v>
          </cell>
        </row>
        <row r="2172">
          <cell r="K2172" t="str">
            <v>LAF8572</v>
          </cell>
          <cell r="L2172" t="str">
            <v>HD</v>
          </cell>
          <cell r="M2172" t="str">
            <v>x</v>
          </cell>
          <cell r="N2172" t="e">
            <v>#N/A</v>
          </cell>
          <cell r="O2172" t="str">
            <v>Finned Vane Air Filter</v>
          </cell>
        </row>
        <row r="2173">
          <cell r="K2173" t="str">
            <v>OUTLET</v>
          </cell>
          <cell r="L2173" t="str">
            <v>HD</v>
          </cell>
          <cell r="M2173" t="str">
            <v>x</v>
          </cell>
          <cell r="N2173" t="e">
            <v>#N/A</v>
          </cell>
          <cell r="O2173" t="str">
            <v>OUTLET VALVE ASSY</v>
          </cell>
        </row>
        <row r="2174">
          <cell r="K2174">
            <v>135</v>
          </cell>
          <cell r="L2174" t="str">
            <v>HD</v>
          </cell>
          <cell r="M2174" t="str">
            <v>x</v>
          </cell>
          <cell r="N2174" t="e">
            <v>#N/A</v>
          </cell>
          <cell r="O2174" t="str">
            <v>Luber-finer model 135 diesel pak, Fleetpak oil filter</v>
          </cell>
        </row>
        <row r="2175">
          <cell r="K2175" t="str">
            <v>500CT</v>
          </cell>
          <cell r="L2175" t="str">
            <v>HD</v>
          </cell>
          <cell r="M2175" t="str">
            <v>x</v>
          </cell>
          <cell r="N2175" t="e">
            <v>#N/A</v>
          </cell>
          <cell r="O2175" t="str">
            <v>Horizontal Diesel Unit w/Imperial Filter Pack/500-C</v>
          </cell>
        </row>
        <row r="2176">
          <cell r="K2176" t="str">
            <v>F170</v>
          </cell>
          <cell r="L2176" t="str">
            <v>HD</v>
          </cell>
          <cell r="M2176" t="str">
            <v>x</v>
          </cell>
          <cell r="N2176" t="e">
            <v>#N/A</v>
          </cell>
          <cell r="O2176" t="str">
            <v>Head Casting, Aluminum/F-170-W</v>
          </cell>
        </row>
        <row r="2177">
          <cell r="K2177">
            <v>750</v>
          </cell>
          <cell r="L2177" t="str">
            <v>HD</v>
          </cell>
          <cell r="M2177" t="str">
            <v>x</v>
          </cell>
          <cell r="N2177" t="e">
            <v>#N/A</v>
          </cell>
          <cell r="O2177" t="str">
            <v>750-C Lower Housing Shell w/Retaining Ring Only</v>
          </cell>
        </row>
        <row r="2178">
          <cell r="K2178" t="str">
            <v>LFH4984</v>
          </cell>
          <cell r="L2178" t="str">
            <v>HD</v>
          </cell>
          <cell r="N2178" t="e">
            <v>#N/A</v>
          </cell>
          <cell r="O2178" t="str">
            <v>Spin-on Power Steering (Hydraulic) Filter</v>
          </cell>
        </row>
        <row r="2179">
          <cell r="K2179" t="str">
            <v>CAF24005XL</v>
          </cell>
          <cell r="L2179" t="str">
            <v>HD</v>
          </cell>
          <cell r="M2179" t="str">
            <v>x</v>
          </cell>
          <cell r="N2179" t="e">
            <v>#N/A</v>
          </cell>
          <cell r="O2179" t="str">
            <v>Cabin Air Filter (Carbon) Extreme Clean</v>
          </cell>
        </row>
        <row r="2180">
          <cell r="K2180" t="str">
            <v>LFP791</v>
          </cell>
          <cell r="L2180" t="str">
            <v>HD</v>
          </cell>
          <cell r="M2180" t="str">
            <v>x</v>
          </cell>
          <cell r="N2180" t="e">
            <v>#N/A</v>
          </cell>
          <cell r="O2180" t="str">
            <v>Spin-on Oil Filter</v>
          </cell>
        </row>
        <row r="2181">
          <cell r="K2181" t="str">
            <v>L3995F</v>
          </cell>
          <cell r="L2181" t="str">
            <v>HD</v>
          </cell>
          <cell r="M2181" t="str">
            <v>x</v>
          </cell>
          <cell r="N2181" t="e">
            <v>#N/A</v>
          </cell>
          <cell r="O2181" t="str">
            <v>In-Line Fuel Filter</v>
          </cell>
        </row>
        <row r="2182">
          <cell r="K2182" t="str">
            <v>LAF8597</v>
          </cell>
          <cell r="L2182" t="str">
            <v>HD</v>
          </cell>
          <cell r="M2182" t="str">
            <v>x</v>
          </cell>
          <cell r="N2182" t="e">
            <v>#N/A</v>
          </cell>
          <cell r="O2182" t="str">
            <v>Round Air Filter</v>
          </cell>
        </row>
        <row r="2183">
          <cell r="K2183" t="str">
            <v>LFP9024</v>
          </cell>
          <cell r="L2183" t="str">
            <v>HD</v>
          </cell>
          <cell r="M2183" t="str">
            <v>x</v>
          </cell>
          <cell r="N2183" t="e">
            <v>#N/A</v>
          </cell>
          <cell r="O2183" t="str">
            <v>Spin-on Oil Filter</v>
          </cell>
        </row>
        <row r="2184">
          <cell r="K2184" t="str">
            <v>LAF8824</v>
          </cell>
          <cell r="L2184" t="str">
            <v>HD</v>
          </cell>
          <cell r="M2184" t="str">
            <v>x</v>
          </cell>
          <cell r="N2184" t="e">
            <v>#N/A</v>
          </cell>
          <cell r="O2184" t="str">
            <v>HD Metal-End Air Filter</v>
          </cell>
        </row>
        <row r="2185">
          <cell r="K2185" t="str">
            <v>LFP2252</v>
          </cell>
          <cell r="L2185" t="str">
            <v>HD</v>
          </cell>
          <cell r="M2185" t="str">
            <v>x</v>
          </cell>
          <cell r="N2185" t="e">
            <v>#N/A</v>
          </cell>
          <cell r="O2185" t="str">
            <v>Spin-on Oil Filter</v>
          </cell>
        </row>
        <row r="2186">
          <cell r="K2186" t="str">
            <v>LFP9001XL</v>
          </cell>
          <cell r="L2186" t="str">
            <v>HD</v>
          </cell>
          <cell r="O2186" t="str">
            <v>Spin-on Oil Filter</v>
          </cell>
        </row>
        <row r="2187">
          <cell r="K2187" t="str">
            <v>LFP5010</v>
          </cell>
          <cell r="L2187" t="str">
            <v>HD</v>
          </cell>
          <cell r="M2187" t="str">
            <v>x</v>
          </cell>
          <cell r="N2187" t="e">
            <v>#N/A</v>
          </cell>
          <cell r="O2187" t="str">
            <v>Spin-on Oil Filter</v>
          </cell>
        </row>
        <row r="2188">
          <cell r="K2188" t="str">
            <v>L9721F</v>
          </cell>
          <cell r="L2188" t="str">
            <v>HD</v>
          </cell>
          <cell r="M2188" t="str">
            <v>x</v>
          </cell>
          <cell r="N2188" t="e">
            <v>#N/A</v>
          </cell>
          <cell r="O2188" t="str">
            <v>Cartridge Fuel Water Separator Filter</v>
          </cell>
        </row>
        <row r="2189">
          <cell r="K2189" t="str">
            <v>LFP2538</v>
          </cell>
          <cell r="L2189" t="str">
            <v>HD</v>
          </cell>
          <cell r="M2189" t="str">
            <v>x</v>
          </cell>
          <cell r="N2189" t="e">
            <v>#N/A</v>
          </cell>
          <cell r="O2189" t="str">
            <v>Spin-on Oil Filter</v>
          </cell>
        </row>
        <row r="2190">
          <cell r="K2190" t="str">
            <v>LFF1006</v>
          </cell>
          <cell r="L2190" t="str">
            <v>HD</v>
          </cell>
          <cell r="M2190" t="str">
            <v>x</v>
          </cell>
          <cell r="N2190" t="e">
            <v>#N/A</v>
          </cell>
          <cell r="O2190" t="str">
            <v>Box Type Fuel Filter</v>
          </cell>
        </row>
        <row r="2191">
          <cell r="K2191" t="str">
            <v>LAF3551MXM</v>
          </cell>
          <cell r="L2191" t="str">
            <v>HD</v>
          </cell>
          <cell r="M2191" t="str">
            <v>x</v>
          </cell>
          <cell r="N2191" t="e">
            <v>#N/A</v>
          </cell>
          <cell r="O2191" t="str">
            <v xml:space="preserve">Nano Tech HD Round Air Filter w/Attached Lid  </v>
          </cell>
        </row>
        <row r="2192">
          <cell r="K2192" t="str">
            <v>LFP2535</v>
          </cell>
          <cell r="L2192" t="str">
            <v>HD</v>
          </cell>
          <cell r="M2192" t="str">
            <v>x</v>
          </cell>
          <cell r="N2192" t="e">
            <v>#N/A</v>
          </cell>
          <cell r="O2192" t="str">
            <v>Spin-on Oil Filter</v>
          </cell>
        </row>
        <row r="2193">
          <cell r="K2193" t="str">
            <v>LP560HE</v>
          </cell>
          <cell r="L2193" t="str">
            <v>HD</v>
          </cell>
          <cell r="M2193" t="str">
            <v>x</v>
          </cell>
          <cell r="N2193" t="e">
            <v>#N/A</v>
          </cell>
          <cell r="O2193" t="str">
            <v>Cartridge Oil Filter</v>
          </cell>
        </row>
        <row r="2194">
          <cell r="K2194" t="str">
            <v>LFP5971</v>
          </cell>
          <cell r="L2194" t="str">
            <v>HD</v>
          </cell>
          <cell r="M2194" t="str">
            <v>x</v>
          </cell>
          <cell r="N2194" t="e">
            <v>#N/A</v>
          </cell>
          <cell r="O2194" t="str">
            <v>Spin-on Oil Filter</v>
          </cell>
        </row>
        <row r="2195">
          <cell r="K2195" t="str">
            <v>LAF8736</v>
          </cell>
          <cell r="L2195" t="str">
            <v>HD</v>
          </cell>
          <cell r="M2195" t="str">
            <v>x</v>
          </cell>
          <cell r="N2195" t="e">
            <v>#N/A</v>
          </cell>
          <cell r="O2195" t="str">
            <v>Round Air Filter</v>
          </cell>
        </row>
        <row r="2196">
          <cell r="K2196" t="str">
            <v>LP229</v>
          </cell>
          <cell r="L2196" t="str">
            <v>HD</v>
          </cell>
          <cell r="M2196" t="str">
            <v>x</v>
          </cell>
          <cell r="N2196" t="e">
            <v>#N/A</v>
          </cell>
          <cell r="O2196" t="str">
            <v>Cartridge Oil Filter</v>
          </cell>
        </row>
        <row r="2197">
          <cell r="K2197" t="str">
            <v>LFF15-30</v>
          </cell>
          <cell r="L2197" t="str">
            <v>HD</v>
          </cell>
          <cell r="M2197" t="str">
            <v>x</v>
          </cell>
          <cell r="N2197" t="e">
            <v>#N/A</v>
          </cell>
          <cell r="O2197" t="str">
            <v>Fuel Dispensing Filter</v>
          </cell>
        </row>
        <row r="2198">
          <cell r="K2198" t="str">
            <v>LAF3706</v>
          </cell>
          <cell r="L2198" t="str">
            <v>HD</v>
          </cell>
          <cell r="M2198" t="str">
            <v>x</v>
          </cell>
          <cell r="N2198" t="e">
            <v>#N/A</v>
          </cell>
          <cell r="O2198" t="str">
            <v>HD Metal-End Air Filter</v>
          </cell>
        </row>
        <row r="2199">
          <cell r="K2199" t="str">
            <v>LAF5799</v>
          </cell>
          <cell r="L2199" t="str">
            <v>HD</v>
          </cell>
          <cell r="M2199" t="str">
            <v>x</v>
          </cell>
          <cell r="N2199" t="e">
            <v>#N/A</v>
          </cell>
          <cell r="O2199" t="str">
            <v>Flexible Panel Air Filter</v>
          </cell>
        </row>
        <row r="2200">
          <cell r="K2200" t="str">
            <v>LFP5853</v>
          </cell>
          <cell r="L2200" t="str">
            <v>HD</v>
          </cell>
          <cell r="M2200" t="str">
            <v>x</v>
          </cell>
          <cell r="N2200" t="e">
            <v>#N/A</v>
          </cell>
          <cell r="O2200" t="str">
            <v>Spin-on Oil Filter</v>
          </cell>
        </row>
        <row r="2201">
          <cell r="K2201" t="str">
            <v>LAF6769MXM</v>
          </cell>
          <cell r="L2201" t="str">
            <v>HD</v>
          </cell>
          <cell r="M2201" t="str">
            <v>x</v>
          </cell>
          <cell r="N2201" t="e">
            <v>#N/A</v>
          </cell>
          <cell r="O2201" t="str">
            <v xml:space="preserve">Nano Tech Air Filter HD Metal-End </v>
          </cell>
        </row>
        <row r="2202">
          <cell r="K2202" t="str">
            <v>LFH4970</v>
          </cell>
          <cell r="L2202" t="str">
            <v>HD</v>
          </cell>
          <cell r="M2202" t="str">
            <v>x</v>
          </cell>
          <cell r="N2202" t="e">
            <v>#N/A</v>
          </cell>
          <cell r="O2202" t="str">
            <v>Spin-on Hydraulic Filter</v>
          </cell>
        </row>
        <row r="2203">
          <cell r="K2203" t="str">
            <v>LAF466</v>
          </cell>
          <cell r="L2203" t="str">
            <v>HD</v>
          </cell>
          <cell r="M2203" t="str">
            <v>x</v>
          </cell>
          <cell r="N2203" t="e">
            <v>#N/A</v>
          </cell>
          <cell r="O2203" t="str">
            <v>HD Metal-End Air Filter</v>
          </cell>
        </row>
        <row r="2204">
          <cell r="K2204" t="str">
            <v>LH5942</v>
          </cell>
          <cell r="L2204" t="str">
            <v>HD</v>
          </cell>
          <cell r="M2204" t="str">
            <v>x</v>
          </cell>
          <cell r="N2204" t="e">
            <v>#N/A</v>
          </cell>
          <cell r="O2204" t="str">
            <v>Cartridge Hydraulic Filter</v>
          </cell>
        </row>
        <row r="2205">
          <cell r="K2205" t="str">
            <v>LAF1468</v>
          </cell>
          <cell r="L2205" t="str">
            <v>HD</v>
          </cell>
          <cell r="M2205" t="str">
            <v>x</v>
          </cell>
          <cell r="N2205" t="e">
            <v>#N/A</v>
          </cell>
          <cell r="O2205" t="str">
            <v>Rigid Panel Air Filter</v>
          </cell>
        </row>
        <row r="2206">
          <cell r="K2206" t="str">
            <v>CAF24002XL</v>
          </cell>
          <cell r="L2206" t="str">
            <v>HD</v>
          </cell>
          <cell r="M2206" t="str">
            <v>x</v>
          </cell>
          <cell r="N2206" t="e">
            <v>#N/A</v>
          </cell>
          <cell r="O2206" t="str">
            <v>Cabin Air Filter (Carbon) Extreme Clean</v>
          </cell>
        </row>
        <row r="2207">
          <cell r="K2207" t="str">
            <v>LAF8589</v>
          </cell>
          <cell r="L2207" t="str">
            <v>HD</v>
          </cell>
          <cell r="M2207" t="str">
            <v>x</v>
          </cell>
          <cell r="N2207" t="e">
            <v>#N/A</v>
          </cell>
          <cell r="O2207" t="str">
            <v>HD Metal-End Air Filter-Inner</v>
          </cell>
        </row>
        <row r="2208">
          <cell r="K2208" t="str">
            <v>LP5899</v>
          </cell>
          <cell r="L2208" t="str">
            <v>HD</v>
          </cell>
          <cell r="M2208" t="str">
            <v>x</v>
          </cell>
          <cell r="N2208" t="e">
            <v>#N/A</v>
          </cell>
          <cell r="O2208" t="str">
            <v>Cartridge Oil Filter</v>
          </cell>
        </row>
        <row r="2209">
          <cell r="K2209" t="str">
            <v>LH4227</v>
          </cell>
          <cell r="L2209" t="str">
            <v>HD</v>
          </cell>
          <cell r="M2209" t="str">
            <v>x</v>
          </cell>
          <cell r="N2209" t="e">
            <v>#N/A</v>
          </cell>
          <cell r="O2209" t="str">
            <v>Cartridge Hydraulic Filter</v>
          </cell>
        </row>
        <row r="2210">
          <cell r="K2210" t="str">
            <v>LAF4159</v>
          </cell>
          <cell r="L2210" t="str">
            <v>HD</v>
          </cell>
          <cell r="M2210" t="str">
            <v>x</v>
          </cell>
          <cell r="N2210" t="e">
            <v>#N/A</v>
          </cell>
          <cell r="O2210" t="str">
            <v>Round Inner Air Filter</v>
          </cell>
        </row>
        <row r="2211">
          <cell r="K2211" t="str">
            <v>LAF1476</v>
          </cell>
          <cell r="L2211" t="str">
            <v>HD</v>
          </cell>
          <cell r="M2211" t="str">
            <v>x</v>
          </cell>
          <cell r="N2211" t="e">
            <v>#N/A</v>
          </cell>
          <cell r="O2211" t="str">
            <v>HD Metal-End Air Filter</v>
          </cell>
        </row>
        <row r="2212">
          <cell r="K2212" t="str">
            <v>LAF8664</v>
          </cell>
          <cell r="L2212" t="str">
            <v>HD</v>
          </cell>
          <cell r="M2212" t="str">
            <v>x</v>
          </cell>
          <cell r="N2212" t="e">
            <v>#N/A</v>
          </cell>
          <cell r="O2212" t="str">
            <v>HD Metal-End Air Filter with Attached Lid</v>
          </cell>
        </row>
        <row r="2213">
          <cell r="K2213" t="str">
            <v>LAF4501MXM</v>
          </cell>
          <cell r="L2213" t="str">
            <v>HD</v>
          </cell>
          <cell r="M2213" t="str">
            <v>x</v>
          </cell>
          <cell r="N2213" t="e">
            <v>#N/A</v>
          </cell>
          <cell r="O2213" t="str">
            <v>Nano Tech Radial Seal Air Filter</v>
          </cell>
        </row>
        <row r="2214">
          <cell r="K2214" t="str">
            <v>LK282MB</v>
          </cell>
          <cell r="L2214" t="str">
            <v>HD</v>
          </cell>
          <cell r="M2214" t="str">
            <v>x</v>
          </cell>
          <cell r="N2214" t="e">
            <v>#N/A</v>
          </cell>
          <cell r="O2214" t="str">
            <v>Mercedes Benz Engine Maintenance Kit</v>
          </cell>
        </row>
        <row r="2215">
          <cell r="K2215" t="str">
            <v>LAF6998MXM</v>
          </cell>
          <cell r="L2215" t="str">
            <v>HD</v>
          </cell>
          <cell r="M2215" t="str">
            <v>x</v>
          </cell>
          <cell r="N2215" t="e">
            <v>#N/A</v>
          </cell>
          <cell r="O2215" t="str">
            <v>Nano Tech Radial Seal Air Filter</v>
          </cell>
        </row>
        <row r="2216">
          <cell r="K2216" t="str">
            <v>LFF8932</v>
          </cell>
          <cell r="L2216" t="str">
            <v>HD</v>
          </cell>
          <cell r="M2216" t="str">
            <v>x</v>
          </cell>
          <cell r="N2216" t="e">
            <v>#N/A</v>
          </cell>
          <cell r="O2216" t="str">
            <v>Spin-on Fuel Water Separator Filter</v>
          </cell>
        </row>
        <row r="2217">
          <cell r="K2217" t="str">
            <v>LAF5590</v>
          </cell>
          <cell r="L2217" t="str">
            <v>HD</v>
          </cell>
          <cell r="M2217" t="str">
            <v>x</v>
          </cell>
          <cell r="N2217" t="e">
            <v>#N/A</v>
          </cell>
          <cell r="O2217" t="str">
            <v>Metal-End Air Filter, Primary</v>
          </cell>
        </row>
        <row r="2218">
          <cell r="K2218" t="str">
            <v>LFF8806F</v>
          </cell>
          <cell r="L2218" t="str">
            <v>HD</v>
          </cell>
          <cell r="M2218" t="str">
            <v>x</v>
          </cell>
          <cell r="N2218" t="e">
            <v>#N/A</v>
          </cell>
          <cell r="O2218" t="str">
            <v>Spin-on Fuel Water Separator Filter</v>
          </cell>
        </row>
        <row r="2219">
          <cell r="K2219" t="str">
            <v>LFP9930</v>
          </cell>
          <cell r="L2219" t="str">
            <v>HD</v>
          </cell>
          <cell r="M2219" t="str">
            <v>x</v>
          </cell>
          <cell r="N2219" t="e">
            <v>#N/A</v>
          </cell>
          <cell r="O2219" t="str">
            <v>Spin-on Oil Filter</v>
          </cell>
        </row>
        <row r="2220">
          <cell r="K2220" t="str">
            <v>LAF5572</v>
          </cell>
          <cell r="L2220" t="str">
            <v>HD</v>
          </cell>
          <cell r="M2220" t="str">
            <v>x</v>
          </cell>
          <cell r="N2220" t="e">
            <v>#N/A</v>
          </cell>
          <cell r="O2220" t="str">
            <v>HD Metal-End Air Filter</v>
          </cell>
        </row>
        <row r="2221">
          <cell r="K2221" t="str">
            <v>LP2254</v>
          </cell>
          <cell r="L2221" t="str">
            <v>HD</v>
          </cell>
          <cell r="M2221" t="str">
            <v>x</v>
          </cell>
          <cell r="N2221" t="e">
            <v>#N/A</v>
          </cell>
          <cell r="O2221" t="str">
            <v>Cartridge Oil Filter</v>
          </cell>
        </row>
        <row r="2222">
          <cell r="K2222" t="str">
            <v>LFF8093</v>
          </cell>
          <cell r="L2222" t="str">
            <v>HD</v>
          </cell>
          <cell r="M2222" t="str">
            <v>x</v>
          </cell>
          <cell r="N2222" t="e">
            <v>#N/A</v>
          </cell>
          <cell r="O2222" t="str">
            <v>Spin-on Fuel Filter</v>
          </cell>
        </row>
        <row r="2223">
          <cell r="K2223" t="str">
            <v>LAF5598</v>
          </cell>
          <cell r="L2223" t="str">
            <v>HD</v>
          </cell>
          <cell r="M2223" t="str">
            <v>x</v>
          </cell>
          <cell r="N2223" t="e">
            <v>#N/A</v>
          </cell>
          <cell r="O2223" t="str">
            <v>HD Metal-End Air Filter</v>
          </cell>
        </row>
        <row r="2224">
          <cell r="K2224" t="str">
            <v>LAF5951</v>
          </cell>
          <cell r="L2224" t="str">
            <v>HD</v>
          </cell>
          <cell r="M2224" t="str">
            <v>x</v>
          </cell>
          <cell r="N2224" t="e">
            <v>#N/A</v>
          </cell>
          <cell r="O2224" t="str">
            <v>Air Filter</v>
          </cell>
        </row>
        <row r="2225">
          <cell r="K2225" t="str">
            <v>LP5563</v>
          </cell>
          <cell r="L2225" t="str">
            <v>HD</v>
          </cell>
          <cell r="M2225" t="str">
            <v>x</v>
          </cell>
          <cell r="N2225" t="e">
            <v>#N/A</v>
          </cell>
          <cell r="O2225" t="str">
            <v>Cartridge Oil Filter</v>
          </cell>
        </row>
        <row r="2226">
          <cell r="K2226" t="str">
            <v>LAF1803</v>
          </cell>
          <cell r="L2226" t="str">
            <v>HD</v>
          </cell>
          <cell r="M2226" t="str">
            <v>x</v>
          </cell>
          <cell r="N2226" t="str">
            <v>LAF1803</v>
          </cell>
          <cell r="O2226" t="str">
            <v>Bag Type Air Filter</v>
          </cell>
        </row>
        <row r="2227">
          <cell r="K2227" t="str">
            <v>LP5565</v>
          </cell>
          <cell r="L2227" t="str">
            <v>HD</v>
          </cell>
          <cell r="M2227" t="str">
            <v>x</v>
          </cell>
          <cell r="N2227" t="e">
            <v>#N/A</v>
          </cell>
          <cell r="O2227" t="str">
            <v>Cartridge Fuel Filter</v>
          </cell>
        </row>
        <row r="2228">
          <cell r="K2228" t="str">
            <v>L197F</v>
          </cell>
          <cell r="L2228" t="str">
            <v>HD</v>
          </cell>
          <cell r="M2228" t="str">
            <v>x</v>
          </cell>
          <cell r="N2228" t="e">
            <v>#N/A</v>
          </cell>
          <cell r="O2228" t="str">
            <v>Sock Type Fuel Filter</v>
          </cell>
        </row>
        <row r="2229">
          <cell r="K2229" t="str">
            <v>LAF1838</v>
          </cell>
          <cell r="L2229" t="str">
            <v>HD</v>
          </cell>
          <cell r="M2229" t="str">
            <v>x</v>
          </cell>
          <cell r="N2229" t="e">
            <v>#N/A</v>
          </cell>
          <cell r="O2229" t="str">
            <v>Cone Shaped Conical Air Filter</v>
          </cell>
        </row>
        <row r="2230">
          <cell r="K2230" t="str">
            <v>LFP2000K</v>
          </cell>
          <cell r="L2230" t="str">
            <v>HD</v>
          </cell>
          <cell r="M2230" t="str">
            <v>x</v>
          </cell>
          <cell r="N2230" t="e">
            <v>#N/A</v>
          </cell>
          <cell r="O2230" t="str">
            <v>Coalescer Fuel Filter and Mounting Base</v>
          </cell>
        </row>
        <row r="2231">
          <cell r="K2231" t="str">
            <v>FC1HD</v>
          </cell>
          <cell r="L2231" t="str">
            <v>HD</v>
          </cell>
          <cell r="M2231" t="str">
            <v>x</v>
          </cell>
          <cell r="N2231" t="e">
            <v>#N/A</v>
          </cell>
          <cell r="O2231" t="str">
            <v>Oil Filter Cutter for Filters up to 6 inches Diameter</v>
          </cell>
        </row>
        <row r="2232">
          <cell r="K2232" t="str">
            <v>LFP8938</v>
          </cell>
          <cell r="L2232" t="str">
            <v>HD</v>
          </cell>
          <cell r="M2232" t="str">
            <v>x</v>
          </cell>
          <cell r="N2232" t="e">
            <v>#N/A</v>
          </cell>
          <cell r="O2232" t="str">
            <v>Spin-on Oil Filter</v>
          </cell>
        </row>
        <row r="2233">
          <cell r="K2233" t="str">
            <v>LP2246</v>
          </cell>
          <cell r="L2233" t="str">
            <v>HD</v>
          </cell>
          <cell r="M2233" t="str">
            <v>x</v>
          </cell>
          <cell r="N2233" t="e">
            <v>#N/A</v>
          </cell>
          <cell r="O2233" t="str">
            <v>Cartridge Oil Filter</v>
          </cell>
        </row>
        <row r="2234">
          <cell r="K2234" t="str">
            <v>LFP8982</v>
          </cell>
          <cell r="L2234" t="str">
            <v>HD</v>
          </cell>
          <cell r="M2234" t="str">
            <v>x</v>
          </cell>
          <cell r="N2234" t="e">
            <v>#N/A</v>
          </cell>
          <cell r="O2234" t="str">
            <v>Spin-on Oil Filter</v>
          </cell>
        </row>
        <row r="2235">
          <cell r="K2235" t="str">
            <v>LP8708</v>
          </cell>
          <cell r="L2235" t="str">
            <v>HD</v>
          </cell>
          <cell r="M2235" t="str">
            <v>x</v>
          </cell>
          <cell r="N2235" t="e">
            <v>#N/A</v>
          </cell>
          <cell r="O2235" t="str">
            <v>Cartridge Oil Filter</v>
          </cell>
        </row>
        <row r="2236">
          <cell r="K2236" t="str">
            <v>LAF5773</v>
          </cell>
          <cell r="L2236" t="str">
            <v>HD</v>
          </cell>
          <cell r="M2236" t="str">
            <v>x</v>
          </cell>
          <cell r="N2236" t="e">
            <v>#N/A</v>
          </cell>
          <cell r="O2236" t="str">
            <v>Oval Air Filter</v>
          </cell>
        </row>
        <row r="2237">
          <cell r="K2237" t="str">
            <v>LP8992</v>
          </cell>
          <cell r="L2237" t="str">
            <v>HD</v>
          </cell>
          <cell r="M2237" t="str">
            <v>x</v>
          </cell>
          <cell r="N2237" t="e">
            <v>#N/A</v>
          </cell>
          <cell r="O2237" t="str">
            <v>Cartridge Oil Filter</v>
          </cell>
        </row>
        <row r="2238">
          <cell r="K2238" t="str">
            <v>LAF5763</v>
          </cell>
          <cell r="L2238" t="str">
            <v>HD</v>
          </cell>
          <cell r="M2238" t="str">
            <v>x</v>
          </cell>
          <cell r="N2238" t="e">
            <v>#N/A</v>
          </cell>
          <cell r="O2238" t="str">
            <v>Radial Seal Outer Air Filter</v>
          </cell>
        </row>
        <row r="2239">
          <cell r="K2239" t="str">
            <v>L8965F</v>
          </cell>
          <cell r="L2239" t="str">
            <v>HD</v>
          </cell>
          <cell r="M2239" t="str">
            <v>x</v>
          </cell>
          <cell r="N2239" t="e">
            <v>#N/A</v>
          </cell>
          <cell r="O2239" t="str">
            <v>Cartridge Fuel Filter</v>
          </cell>
        </row>
        <row r="2240">
          <cell r="K2240" t="str">
            <v>LAF5764</v>
          </cell>
          <cell r="L2240" t="str">
            <v>HD</v>
          </cell>
          <cell r="M2240" t="str">
            <v>x</v>
          </cell>
          <cell r="N2240" t="e">
            <v>#N/A</v>
          </cell>
          <cell r="O2240" t="str">
            <v>Radial Seal Inner Air Filter</v>
          </cell>
        </row>
        <row r="2241">
          <cell r="K2241" t="str">
            <v>LAF1750</v>
          </cell>
          <cell r="L2241" t="str">
            <v>HD</v>
          </cell>
          <cell r="M2241" t="str">
            <v>x</v>
          </cell>
          <cell r="N2241" t="e">
            <v>#N/A</v>
          </cell>
          <cell r="O2241" t="str">
            <v>HD Metal-End Air Filter</v>
          </cell>
        </row>
        <row r="2242">
          <cell r="K2242" t="str">
            <v>LAF5575</v>
          </cell>
          <cell r="L2242" t="str">
            <v>HD</v>
          </cell>
          <cell r="M2242" t="str">
            <v>x</v>
          </cell>
          <cell r="N2242" t="e">
            <v>#N/A</v>
          </cell>
          <cell r="O2242" t="str">
            <v>HD Metal-End Air Filter</v>
          </cell>
        </row>
        <row r="2243">
          <cell r="K2243" t="str">
            <v>L6267F</v>
          </cell>
          <cell r="L2243" t="str">
            <v>HD</v>
          </cell>
          <cell r="M2243" t="str">
            <v>x</v>
          </cell>
          <cell r="N2243" t="e">
            <v>#N/A</v>
          </cell>
          <cell r="O2243" t="str">
            <v>Snap-lock Fuel/Water Separator Filter</v>
          </cell>
        </row>
        <row r="2244">
          <cell r="K2244" t="str">
            <v>LAF1901</v>
          </cell>
          <cell r="L2244" t="str">
            <v>HD</v>
          </cell>
          <cell r="M2244" t="str">
            <v>x</v>
          </cell>
          <cell r="N2244" t="e">
            <v>#N/A</v>
          </cell>
          <cell r="O2244" t="str">
            <v>HD-Metal End Air Filter</v>
          </cell>
        </row>
        <row r="2245">
          <cell r="K2245" t="str">
            <v>LAF5959</v>
          </cell>
          <cell r="L2245" t="str">
            <v>HD</v>
          </cell>
          <cell r="M2245" t="str">
            <v>x</v>
          </cell>
          <cell r="N2245" t="e">
            <v>#N/A</v>
          </cell>
          <cell r="O2245" t="str">
            <v>Radial Seal Outer Air Filter</v>
          </cell>
        </row>
        <row r="2246">
          <cell r="K2246" t="str">
            <v>LFP8986</v>
          </cell>
          <cell r="L2246" t="str">
            <v>HD</v>
          </cell>
          <cell r="M2246" t="str">
            <v>x</v>
          </cell>
          <cell r="N2246" t="e">
            <v>#N/A</v>
          </cell>
          <cell r="O2246" t="str">
            <v>Spin-on Oil Filter</v>
          </cell>
        </row>
        <row r="2247">
          <cell r="K2247" t="str">
            <v>LP2263</v>
          </cell>
          <cell r="L2247" t="str">
            <v>HD</v>
          </cell>
          <cell r="M2247" t="str">
            <v>x</v>
          </cell>
          <cell r="N2247" t="e">
            <v>#N/A</v>
          </cell>
          <cell r="O2247" t="str">
            <v>Cartridge Oil Filter</v>
          </cell>
        </row>
        <row r="2248">
          <cell r="K2248" t="str">
            <v>LAF8920</v>
          </cell>
          <cell r="L2248" t="str">
            <v>HD</v>
          </cell>
          <cell r="M2248" t="str">
            <v>x</v>
          </cell>
          <cell r="N2248" t="e">
            <v>#N/A</v>
          </cell>
          <cell r="O2248" t="str">
            <v>Radial Seal Outer Air Filter</v>
          </cell>
        </row>
        <row r="2249">
          <cell r="K2249" t="str">
            <v>LAF8559</v>
          </cell>
          <cell r="L2249" t="str">
            <v>HD</v>
          </cell>
          <cell r="M2249" t="str">
            <v>x</v>
          </cell>
          <cell r="N2249" t="e">
            <v>#N/A</v>
          </cell>
          <cell r="O2249" t="str">
            <v>HD Metal-End Air Filter</v>
          </cell>
        </row>
        <row r="2250">
          <cell r="K2250" t="str">
            <v>LFF8040</v>
          </cell>
          <cell r="L2250" t="str">
            <v>HD</v>
          </cell>
          <cell r="M2250" t="str">
            <v>x</v>
          </cell>
          <cell r="N2250" t="e">
            <v>#N/A</v>
          </cell>
          <cell r="O2250" t="str">
            <v>Spin-on Fuel Water Separator Filter</v>
          </cell>
        </row>
        <row r="2251">
          <cell r="K2251" t="str">
            <v>LAF3864</v>
          </cell>
          <cell r="L2251" t="str">
            <v>HD</v>
          </cell>
          <cell r="M2251" t="str">
            <v>x</v>
          </cell>
          <cell r="N2251" t="e">
            <v>#N/A</v>
          </cell>
          <cell r="O2251" t="str">
            <v>Radial Seal Outer Air Filter</v>
          </cell>
        </row>
        <row r="2252">
          <cell r="K2252" t="str">
            <v>LAF5519</v>
          </cell>
          <cell r="L2252" t="str">
            <v>HD</v>
          </cell>
          <cell r="M2252" t="str">
            <v>x</v>
          </cell>
          <cell r="N2252" t="e">
            <v>#N/A</v>
          </cell>
          <cell r="O2252" t="str">
            <v>Finned Vane Air Filter</v>
          </cell>
        </row>
        <row r="2253">
          <cell r="K2253" t="str">
            <v>LAF8558</v>
          </cell>
          <cell r="L2253" t="str">
            <v>HD</v>
          </cell>
          <cell r="M2253" t="str">
            <v>x</v>
          </cell>
          <cell r="N2253" t="e">
            <v>#N/A</v>
          </cell>
          <cell r="O2253" t="str">
            <v>Round Inner Air Filter</v>
          </cell>
        </row>
        <row r="2254">
          <cell r="K2254" t="str">
            <v>LAF250HD</v>
          </cell>
          <cell r="L2254" t="str">
            <v>HD</v>
          </cell>
          <cell r="M2254" t="str">
            <v>x</v>
          </cell>
          <cell r="N2254" t="e">
            <v>#N/A</v>
          </cell>
          <cell r="O2254" t="str">
            <v>HD Metal-End Air Filter</v>
          </cell>
        </row>
        <row r="2255">
          <cell r="K2255" t="str">
            <v>L1133F</v>
          </cell>
          <cell r="L2255" t="str">
            <v>HD</v>
          </cell>
          <cell r="M2255" t="str">
            <v>x</v>
          </cell>
          <cell r="N2255" t="e">
            <v>#N/A</v>
          </cell>
          <cell r="O2255" t="str">
            <v>Cartridge Fuel Filter</v>
          </cell>
        </row>
        <row r="2256">
          <cell r="K2256" t="str">
            <v>LAF3863</v>
          </cell>
          <cell r="L2256" t="str">
            <v>HD</v>
          </cell>
          <cell r="M2256" t="str">
            <v>x</v>
          </cell>
          <cell r="N2256" t="e">
            <v>#N/A</v>
          </cell>
          <cell r="O2256" t="str">
            <v>Radial Seal Inner Air Filter</v>
          </cell>
        </row>
        <row r="2257">
          <cell r="K2257" t="str">
            <v>LAF5439</v>
          </cell>
          <cell r="L2257" t="str">
            <v>HD</v>
          </cell>
          <cell r="M2257" t="str">
            <v>x</v>
          </cell>
          <cell r="N2257" t="e">
            <v>#N/A</v>
          </cell>
          <cell r="O2257" t="str">
            <v>Radial Seal Inner Air Filter</v>
          </cell>
        </row>
        <row r="2258">
          <cell r="K2258" t="str">
            <v>LAF3860</v>
          </cell>
          <cell r="L2258" t="str">
            <v>HD</v>
          </cell>
          <cell r="M2258" t="str">
            <v>x</v>
          </cell>
          <cell r="N2258" t="e">
            <v>#N/A</v>
          </cell>
          <cell r="O2258" t="str">
            <v>Radial Seal Outer Air Filter</v>
          </cell>
        </row>
        <row r="2259">
          <cell r="K2259" t="str">
            <v>L8966F</v>
          </cell>
          <cell r="L2259" t="str">
            <v>HD</v>
          </cell>
          <cell r="M2259" t="str">
            <v>x</v>
          </cell>
          <cell r="N2259" t="e">
            <v>#N/A</v>
          </cell>
          <cell r="O2259" t="str">
            <v>Cartridge Fuel Filter</v>
          </cell>
        </row>
        <row r="2260">
          <cell r="K2260" t="str">
            <v>FP891</v>
          </cell>
          <cell r="L2260" t="str">
            <v>HD</v>
          </cell>
          <cell r="M2260" t="str">
            <v>x</v>
          </cell>
          <cell r="N2260" t="e">
            <v>#N/A</v>
          </cell>
          <cell r="O2260" t="str">
            <v>In-Line Fuel Filter</v>
          </cell>
        </row>
        <row r="2261">
          <cell r="K2261" t="str">
            <v>LAF5878</v>
          </cell>
          <cell r="L2261" t="str">
            <v>HD</v>
          </cell>
          <cell r="M2261" t="str">
            <v>x</v>
          </cell>
          <cell r="N2261" t="e">
            <v>#N/A</v>
          </cell>
          <cell r="O2261" t="str">
            <v>HD Round Finned Air Filter with Attached Lid</v>
          </cell>
        </row>
        <row r="2262">
          <cell r="K2262" t="str">
            <v>L9999F</v>
          </cell>
          <cell r="L2262" t="str">
            <v>HD</v>
          </cell>
          <cell r="M2262" t="str">
            <v>x</v>
          </cell>
          <cell r="N2262" t="e">
            <v>#N/A</v>
          </cell>
          <cell r="O2262" t="str">
            <v>Cartridge Fuel Filter</v>
          </cell>
        </row>
        <row r="2263">
          <cell r="K2263" t="str">
            <v>LFE9374</v>
          </cell>
          <cell r="L2263" t="str">
            <v>HD</v>
          </cell>
          <cell r="M2263" t="str">
            <v>x</v>
          </cell>
          <cell r="N2263" t="e">
            <v>#N/A</v>
          </cell>
          <cell r="O2263" t="str">
            <v>Spin-on Oil Filter</v>
          </cell>
        </row>
        <row r="2264">
          <cell r="K2264" t="str">
            <v>LFP8704</v>
          </cell>
          <cell r="L2264" t="str">
            <v>HD</v>
          </cell>
          <cell r="M2264" t="str">
            <v>x</v>
          </cell>
          <cell r="N2264" t="e">
            <v>#N/A</v>
          </cell>
          <cell r="O2264" t="str">
            <v>Spin-on Oil Filter</v>
          </cell>
        </row>
        <row r="2265">
          <cell r="K2265" t="str">
            <v>LFF8349</v>
          </cell>
          <cell r="L2265" t="str">
            <v>HD</v>
          </cell>
          <cell r="M2265" t="str">
            <v>x</v>
          </cell>
          <cell r="N2265" t="e">
            <v>#N/A</v>
          </cell>
          <cell r="O2265" t="str">
            <v>Spin-on Fuel Water Separator Filter</v>
          </cell>
        </row>
        <row r="2266">
          <cell r="K2266" t="str">
            <v>LH11023V</v>
          </cell>
          <cell r="L2266" t="str">
            <v>HD</v>
          </cell>
          <cell r="M2266" t="str">
            <v>x</v>
          </cell>
          <cell r="N2266" t="e">
            <v>#N/A</v>
          </cell>
          <cell r="O2266" t="str">
            <v>Industrial Cartridge Hydraulic Filter</v>
          </cell>
        </row>
        <row r="2267">
          <cell r="K2267" t="str">
            <v>LH11001</v>
          </cell>
          <cell r="L2267" t="str">
            <v>HD</v>
          </cell>
          <cell r="M2267" t="str">
            <v>x</v>
          </cell>
          <cell r="N2267" t="e">
            <v>#N/A</v>
          </cell>
          <cell r="O2267" t="str">
            <v>Industrial Cartridge Hydraulic Filter</v>
          </cell>
        </row>
        <row r="2268">
          <cell r="K2268" t="str">
            <v>LH11017V</v>
          </cell>
          <cell r="L2268" t="str">
            <v>HD</v>
          </cell>
          <cell r="M2268" t="str">
            <v>x</v>
          </cell>
          <cell r="N2268" t="e">
            <v>#N/A</v>
          </cell>
          <cell r="O2268" t="str">
            <v>Industrial Cartridge Hydraulic Filter</v>
          </cell>
        </row>
        <row r="2269">
          <cell r="K2269" t="str">
            <v>LAF5589</v>
          </cell>
          <cell r="L2269" t="str">
            <v>HD</v>
          </cell>
          <cell r="M2269" t="str">
            <v>x</v>
          </cell>
          <cell r="N2269" t="e">
            <v>#N/A</v>
          </cell>
          <cell r="O2269" t="str">
            <v>HD Metal-End Air Filter</v>
          </cell>
        </row>
        <row r="2270">
          <cell r="K2270" t="str">
            <v>LP165</v>
          </cell>
          <cell r="L2270" t="str">
            <v>HD</v>
          </cell>
          <cell r="M2270" t="str">
            <v>x</v>
          </cell>
          <cell r="N2270" t="e">
            <v>#N/A</v>
          </cell>
          <cell r="O2270" t="str">
            <v>Cartridge Oil Filter</v>
          </cell>
        </row>
        <row r="2271">
          <cell r="K2271" t="str">
            <v>LP8718</v>
          </cell>
          <cell r="L2271" t="str">
            <v>HD</v>
          </cell>
          <cell r="M2271" t="str">
            <v>x</v>
          </cell>
          <cell r="N2271" t="e">
            <v>#N/A</v>
          </cell>
          <cell r="O2271" t="str">
            <v>Cartridge Oil Filter</v>
          </cell>
        </row>
        <row r="2272">
          <cell r="K2272" t="str">
            <v>LP2226</v>
          </cell>
          <cell r="L2272" t="str">
            <v>HD</v>
          </cell>
          <cell r="M2272" t="str">
            <v>x</v>
          </cell>
          <cell r="N2272" t="e">
            <v>#N/A</v>
          </cell>
          <cell r="O2272" t="str">
            <v>Cartridge Oil Filter</v>
          </cell>
        </row>
        <row r="2273">
          <cell r="K2273" t="str">
            <v>LH9240V</v>
          </cell>
          <cell r="L2273" t="str">
            <v>HD</v>
          </cell>
          <cell r="M2273" t="str">
            <v>x</v>
          </cell>
          <cell r="N2273" t="e">
            <v>#N/A</v>
          </cell>
          <cell r="O2273" t="str">
            <v>Cartridge Hydraulic Filter</v>
          </cell>
        </row>
        <row r="2274">
          <cell r="K2274" t="str">
            <v>LH8790</v>
          </cell>
          <cell r="L2274" t="str">
            <v>HD</v>
          </cell>
          <cell r="M2274" t="str">
            <v>x</v>
          </cell>
          <cell r="N2274" t="e">
            <v>#N/A</v>
          </cell>
          <cell r="O2274" t="str">
            <v>Cartridge Hydraulic Filter</v>
          </cell>
        </row>
        <row r="2275">
          <cell r="K2275" t="str">
            <v>L3564F</v>
          </cell>
          <cell r="L2275" t="str">
            <v>HD</v>
          </cell>
          <cell r="M2275" t="str">
            <v>x</v>
          </cell>
          <cell r="N2275" t="e">
            <v>#N/A</v>
          </cell>
          <cell r="O2275" t="str">
            <v>Cartridge Fuel Filter</v>
          </cell>
        </row>
        <row r="2276">
          <cell r="K2276" t="str">
            <v>LAF8566</v>
          </cell>
          <cell r="L2276" t="str">
            <v>HD</v>
          </cell>
          <cell r="M2276" t="str">
            <v>x</v>
          </cell>
          <cell r="N2276" t="e">
            <v>#N/A</v>
          </cell>
          <cell r="O2276" t="str">
            <v>HD Round Air Filter with Attached Lid</v>
          </cell>
        </row>
        <row r="2277">
          <cell r="K2277" t="str">
            <v>LAF3232</v>
          </cell>
          <cell r="L2277" t="str">
            <v>HD</v>
          </cell>
          <cell r="M2277" t="str">
            <v>x</v>
          </cell>
          <cell r="N2277" t="e">
            <v>#N/A</v>
          </cell>
          <cell r="O2277" t="str">
            <v>Finned Vane Air Filter</v>
          </cell>
        </row>
        <row r="2278">
          <cell r="K2278" t="str">
            <v>LH4998</v>
          </cell>
          <cell r="L2278" t="str">
            <v>HD</v>
          </cell>
          <cell r="M2278" t="str">
            <v>x</v>
          </cell>
          <cell r="N2278" t="e">
            <v>#N/A</v>
          </cell>
          <cell r="O2278" t="str">
            <v>Cartridge Hydraulic Filter</v>
          </cell>
        </row>
        <row r="2279">
          <cell r="K2279" t="str">
            <v>LAF8989</v>
          </cell>
          <cell r="L2279" t="str">
            <v>HD</v>
          </cell>
          <cell r="M2279" t="str">
            <v>x</v>
          </cell>
          <cell r="N2279" t="e">
            <v>#N/A</v>
          </cell>
          <cell r="O2279" t="str">
            <v>HD Round Air Filter with Attached Boot</v>
          </cell>
        </row>
        <row r="2280">
          <cell r="K2280" t="str">
            <v>LP2309</v>
          </cell>
          <cell r="L2280" t="str">
            <v>HD</v>
          </cell>
          <cell r="M2280" t="str">
            <v>x</v>
          </cell>
          <cell r="N2280" t="e">
            <v>#N/A</v>
          </cell>
          <cell r="O2280" t="str">
            <v>Cartridge Oil Filter</v>
          </cell>
        </row>
        <row r="2281">
          <cell r="K2281" t="str">
            <v>LAF1722</v>
          </cell>
          <cell r="L2281" t="str">
            <v>HD</v>
          </cell>
          <cell r="M2281" t="str">
            <v>x</v>
          </cell>
          <cell r="N2281" t="e">
            <v>#N/A</v>
          </cell>
          <cell r="O2281" t="str">
            <v>Finned Vane Air Filter</v>
          </cell>
        </row>
        <row r="2282">
          <cell r="K2282" t="str">
            <v>LAF1842</v>
          </cell>
          <cell r="L2282" t="str">
            <v>HD</v>
          </cell>
          <cell r="M2282" t="str">
            <v>x</v>
          </cell>
          <cell r="N2282" t="e">
            <v>#N/A</v>
          </cell>
          <cell r="O2282" t="str">
            <v>Finned Vane Air Filter</v>
          </cell>
        </row>
        <row r="2283">
          <cell r="K2283" t="str">
            <v>LAF511</v>
          </cell>
          <cell r="L2283" t="str">
            <v>HD</v>
          </cell>
          <cell r="M2283" t="str">
            <v>x</v>
          </cell>
          <cell r="N2283" t="e">
            <v>#N/A</v>
          </cell>
          <cell r="O2283" t="str">
            <v>Finned Vane Air Filter</v>
          </cell>
        </row>
        <row r="2284">
          <cell r="K2284" t="str">
            <v>LH8461</v>
          </cell>
          <cell r="L2284" t="str">
            <v>HD</v>
          </cell>
          <cell r="M2284" t="str">
            <v>x</v>
          </cell>
          <cell r="N2284" t="e">
            <v>#N/A</v>
          </cell>
          <cell r="O2284" t="str">
            <v>Cartridge Hydraulic Filter</v>
          </cell>
        </row>
        <row r="2285">
          <cell r="K2285" t="str">
            <v>LAF1004</v>
          </cell>
          <cell r="L2285" t="str">
            <v>HD</v>
          </cell>
          <cell r="M2285" t="str">
            <v>x</v>
          </cell>
          <cell r="N2285" t="e">
            <v>#N/A</v>
          </cell>
          <cell r="O2285" t="str">
            <v>Round Air Filter</v>
          </cell>
        </row>
        <row r="2286">
          <cell r="K2286" t="str">
            <v>LAF8669MXM</v>
          </cell>
          <cell r="L2286" t="str">
            <v>HD</v>
          </cell>
          <cell r="M2286" t="str">
            <v>x</v>
          </cell>
          <cell r="N2286" t="e">
            <v>#N/A</v>
          </cell>
          <cell r="O2286" t="str">
            <v>Nano Tech Radial Seal Air Filter</v>
          </cell>
        </row>
        <row r="2287">
          <cell r="K2287" t="str">
            <v>LAF5981</v>
          </cell>
          <cell r="L2287" t="str">
            <v>HD</v>
          </cell>
          <cell r="M2287" t="str">
            <v>x</v>
          </cell>
          <cell r="N2287" t="e">
            <v>#N/A</v>
          </cell>
          <cell r="O2287" t="str">
            <v>HD Metal-End Air Filter</v>
          </cell>
        </row>
        <row r="2288">
          <cell r="K2288" t="str">
            <v>LH4979</v>
          </cell>
          <cell r="L2288" t="str">
            <v>HD</v>
          </cell>
          <cell r="M2288" t="str">
            <v>x</v>
          </cell>
          <cell r="N2288" t="e">
            <v>#N/A</v>
          </cell>
          <cell r="O2288" t="str">
            <v>Cartridge Hydraulic Filter</v>
          </cell>
        </row>
        <row r="2289">
          <cell r="K2289" t="str">
            <v>LFF8103</v>
          </cell>
          <cell r="L2289" t="str">
            <v>HD</v>
          </cell>
          <cell r="M2289" t="str">
            <v>x</v>
          </cell>
          <cell r="N2289" t="e">
            <v>#N/A</v>
          </cell>
          <cell r="O2289" t="str">
            <v>Spin-on Fuel Filter</v>
          </cell>
        </row>
        <row r="2290">
          <cell r="K2290" t="str">
            <v>LAF4342</v>
          </cell>
          <cell r="L2290" t="str">
            <v>HD</v>
          </cell>
          <cell r="M2290" t="str">
            <v>x</v>
          </cell>
          <cell r="N2290" t="e">
            <v>#N/A</v>
          </cell>
          <cell r="O2290" t="str">
            <v>Pre-cleaner Air Filter</v>
          </cell>
        </row>
        <row r="2291">
          <cell r="K2291" t="str">
            <v>LAF9513</v>
          </cell>
          <cell r="L2291" t="str">
            <v>HD</v>
          </cell>
          <cell r="M2291" t="str">
            <v>x</v>
          </cell>
          <cell r="N2291" t="e">
            <v>#N/A</v>
          </cell>
          <cell r="O2291" t="str">
            <v>HD Metal-End Air Filter</v>
          </cell>
        </row>
        <row r="2292">
          <cell r="K2292" t="str">
            <v>LAF1774</v>
          </cell>
          <cell r="L2292" t="str">
            <v>HD</v>
          </cell>
          <cell r="M2292" t="str">
            <v>x</v>
          </cell>
          <cell r="N2292" t="e">
            <v>#N/A</v>
          </cell>
          <cell r="O2292" t="str">
            <v>HD Metal-End Air Filter</v>
          </cell>
        </row>
        <row r="2293">
          <cell r="K2293" t="str">
            <v>LAF8078</v>
          </cell>
          <cell r="L2293" t="str">
            <v>HD</v>
          </cell>
          <cell r="M2293" t="str">
            <v>x</v>
          </cell>
          <cell r="N2293" t="e">
            <v>#N/A</v>
          </cell>
          <cell r="O2293" t="str">
            <v>HD Metal-End Air Filter</v>
          </cell>
        </row>
        <row r="2294">
          <cell r="K2294" t="str">
            <v>LFP2100K</v>
          </cell>
          <cell r="L2294" t="str">
            <v>HD</v>
          </cell>
          <cell r="M2294" t="str">
            <v>x</v>
          </cell>
          <cell r="N2294" t="e">
            <v>#N/A</v>
          </cell>
          <cell r="O2294" t="str">
            <v>Coalescer Fuel Filter and Mounting Base</v>
          </cell>
        </row>
        <row r="2295">
          <cell r="K2295" t="str">
            <v>LH5741</v>
          </cell>
          <cell r="L2295" t="str">
            <v>HD</v>
          </cell>
          <cell r="M2295" t="str">
            <v>x</v>
          </cell>
          <cell r="N2295" t="e">
            <v>#N/A</v>
          </cell>
          <cell r="O2295" t="str">
            <v>Cartridge Hydraulic Filter</v>
          </cell>
        </row>
        <row r="2296">
          <cell r="K2296" t="str">
            <v>L7583F</v>
          </cell>
          <cell r="L2296" t="str">
            <v>HD</v>
          </cell>
          <cell r="M2296" t="str">
            <v>x</v>
          </cell>
          <cell r="N2296" t="e">
            <v>#N/A</v>
          </cell>
          <cell r="O2296" t="str">
            <v>Cartridge Fuel Filter</v>
          </cell>
        </row>
        <row r="2297">
          <cell r="K2297" t="str">
            <v>LFP8099</v>
          </cell>
          <cell r="L2297" t="str">
            <v>HD</v>
          </cell>
          <cell r="M2297" t="str">
            <v>x</v>
          </cell>
          <cell r="N2297" t="e">
            <v>#N/A</v>
          </cell>
          <cell r="O2297" t="str">
            <v>Spin-on Oil Filter</v>
          </cell>
        </row>
        <row r="2298">
          <cell r="K2298" t="str">
            <v>LAF8087</v>
          </cell>
          <cell r="L2298" t="str">
            <v>HD</v>
          </cell>
          <cell r="M2298" t="str">
            <v>x</v>
          </cell>
          <cell r="N2298" t="e">
            <v>#N/A</v>
          </cell>
          <cell r="O2298" t="str">
            <v>Radial Seal Air Filter</v>
          </cell>
        </row>
        <row r="2299">
          <cell r="K2299" t="str">
            <v>LAF282</v>
          </cell>
          <cell r="L2299" t="str">
            <v>HD</v>
          </cell>
          <cell r="M2299" t="str">
            <v>x</v>
          </cell>
          <cell r="N2299" t="e">
            <v>#N/A</v>
          </cell>
          <cell r="O2299" t="str">
            <v>HD Metal-End Air Filter with Attached Lid</v>
          </cell>
        </row>
        <row r="2300">
          <cell r="K2300" t="str">
            <v>LAF8825</v>
          </cell>
          <cell r="L2300" t="str">
            <v>HD</v>
          </cell>
          <cell r="M2300" t="str">
            <v>x</v>
          </cell>
          <cell r="N2300" t="e">
            <v>#N/A</v>
          </cell>
          <cell r="O2300" t="str">
            <v>HD Metal-End Air Filter</v>
          </cell>
        </row>
        <row r="2301">
          <cell r="K2301" t="str">
            <v>LAF2516</v>
          </cell>
          <cell r="L2301" t="str">
            <v>HD</v>
          </cell>
          <cell r="M2301" t="str">
            <v>x</v>
          </cell>
          <cell r="N2301" t="e">
            <v>#N/A</v>
          </cell>
          <cell r="O2301" t="str">
            <v>HD Metal-End Air Filter</v>
          </cell>
        </row>
        <row r="2302">
          <cell r="K2302" t="str">
            <v>LAF7417</v>
          </cell>
          <cell r="L2302" t="str">
            <v>HD</v>
          </cell>
          <cell r="M2302" t="str">
            <v>x</v>
          </cell>
          <cell r="N2302" t="e">
            <v>#N/A</v>
          </cell>
          <cell r="O2302" t="str">
            <v>Radial Seal Outer Air Filter</v>
          </cell>
        </row>
        <row r="2303">
          <cell r="K2303" t="str">
            <v>LAF8088</v>
          </cell>
          <cell r="L2303" t="str">
            <v>HD</v>
          </cell>
          <cell r="M2303" t="str">
            <v>x</v>
          </cell>
          <cell r="N2303" t="e">
            <v>#N/A</v>
          </cell>
          <cell r="O2303" t="str">
            <v>Radial Seal Air Filter</v>
          </cell>
        </row>
        <row r="2304">
          <cell r="K2304" t="str">
            <v>LAF2542</v>
          </cell>
          <cell r="L2304" t="str">
            <v>HD</v>
          </cell>
          <cell r="M2304" t="str">
            <v>x</v>
          </cell>
          <cell r="N2304" t="e">
            <v>#N/A</v>
          </cell>
          <cell r="O2304" t="str">
            <v>HD Metal-End Inner Air Filter</v>
          </cell>
        </row>
        <row r="2305">
          <cell r="K2305" t="str">
            <v>LP5036</v>
          </cell>
          <cell r="L2305" t="str">
            <v>HD</v>
          </cell>
          <cell r="M2305" t="str">
            <v>x</v>
          </cell>
          <cell r="N2305" t="e">
            <v>#N/A</v>
          </cell>
          <cell r="O2305" t="str">
            <v>Cartridge Oil Filter</v>
          </cell>
        </row>
        <row r="2306">
          <cell r="K2306" t="str">
            <v>LH8599</v>
          </cell>
          <cell r="L2306" t="str">
            <v>HD</v>
          </cell>
          <cell r="M2306" t="str">
            <v>x</v>
          </cell>
          <cell r="N2306" t="e">
            <v>#N/A</v>
          </cell>
          <cell r="O2306" t="str">
            <v>Cartridge Hydraulic Filter</v>
          </cell>
        </row>
        <row r="2307">
          <cell r="K2307" t="str">
            <v>LFF200</v>
          </cell>
          <cell r="L2307" t="str">
            <v>HD</v>
          </cell>
          <cell r="M2307" t="str">
            <v>x</v>
          </cell>
          <cell r="N2307" t="e">
            <v>#N/A</v>
          </cell>
          <cell r="O2307" t="str">
            <v>Spin-on Fuel Filter</v>
          </cell>
        </row>
        <row r="2308">
          <cell r="K2308" t="str">
            <v>LH4913</v>
          </cell>
          <cell r="L2308" t="str">
            <v>HD</v>
          </cell>
          <cell r="M2308" t="str">
            <v>x</v>
          </cell>
          <cell r="N2308" t="e">
            <v>#N/A</v>
          </cell>
          <cell r="O2308" t="str">
            <v>Cartridge Hydraulic Filter</v>
          </cell>
        </row>
        <row r="2309">
          <cell r="K2309" t="str">
            <v>LH5012</v>
          </cell>
          <cell r="L2309" t="str">
            <v>HD</v>
          </cell>
          <cell r="M2309" t="str">
            <v>x</v>
          </cell>
          <cell r="N2309" t="e">
            <v>#N/A</v>
          </cell>
          <cell r="O2309" t="str">
            <v>Cartridge Hydraulic Filter</v>
          </cell>
        </row>
        <row r="2310">
          <cell r="K2310" t="str">
            <v>L5948F</v>
          </cell>
          <cell r="L2310" t="str">
            <v>HD</v>
          </cell>
          <cell r="M2310" t="str">
            <v>x</v>
          </cell>
          <cell r="N2310" t="e">
            <v>#N/A</v>
          </cell>
          <cell r="O2310" t="str">
            <v>Cartridge Fuel Filter</v>
          </cell>
        </row>
        <row r="2311">
          <cell r="K2311" t="str">
            <v>LAF1966</v>
          </cell>
          <cell r="L2311" t="str">
            <v>HD</v>
          </cell>
          <cell r="M2311" t="str">
            <v>x</v>
          </cell>
          <cell r="N2311" t="e">
            <v>#N/A</v>
          </cell>
          <cell r="O2311" t="str">
            <v>Round Air Filter</v>
          </cell>
        </row>
        <row r="2312">
          <cell r="K2312" t="str">
            <v>LAF1215HD</v>
          </cell>
          <cell r="L2312" t="str">
            <v>HD</v>
          </cell>
          <cell r="M2312" t="str">
            <v>x</v>
          </cell>
          <cell r="N2312" t="e">
            <v>#N/A</v>
          </cell>
          <cell r="O2312" t="str">
            <v>Round Air Filter</v>
          </cell>
        </row>
        <row r="2313">
          <cell r="K2313" t="str">
            <v>LAF8497</v>
          </cell>
          <cell r="L2313" t="str">
            <v>HD</v>
          </cell>
          <cell r="M2313" t="str">
            <v>x</v>
          </cell>
          <cell r="N2313" t="e">
            <v>#N/A</v>
          </cell>
          <cell r="O2313" t="str">
            <v>Radial Seal Outer Air Filter</v>
          </cell>
        </row>
        <row r="2314">
          <cell r="K2314" t="str">
            <v>LAF8503</v>
          </cell>
          <cell r="L2314" t="str">
            <v>HD</v>
          </cell>
          <cell r="M2314" t="str">
            <v>x</v>
          </cell>
          <cell r="N2314" t="e">
            <v>#N/A</v>
          </cell>
          <cell r="O2314" t="str">
            <v>HD Round Air Filter with Attached Lid</v>
          </cell>
        </row>
        <row r="2315">
          <cell r="K2315" t="str">
            <v>LAF8077</v>
          </cell>
          <cell r="L2315" t="str">
            <v>HD</v>
          </cell>
          <cell r="M2315" t="str">
            <v>x</v>
          </cell>
          <cell r="N2315" t="e">
            <v>#N/A</v>
          </cell>
          <cell r="O2315" t="str">
            <v>HD Metal-End Inner Air Filter</v>
          </cell>
        </row>
        <row r="2316">
          <cell r="K2316" t="str">
            <v>LAF8518</v>
          </cell>
          <cell r="L2316" t="str">
            <v>HD</v>
          </cell>
          <cell r="M2316" t="str">
            <v>x</v>
          </cell>
          <cell r="N2316" t="e">
            <v>#N/A</v>
          </cell>
          <cell r="O2316" t="str">
            <v>HD Metal-End Air Filter-Inner</v>
          </cell>
        </row>
        <row r="2317">
          <cell r="K2317" t="str">
            <v>LAF3779</v>
          </cell>
          <cell r="L2317" t="str">
            <v>HD</v>
          </cell>
          <cell r="M2317" t="str">
            <v>x</v>
          </cell>
          <cell r="N2317" t="e">
            <v>#N/A</v>
          </cell>
          <cell r="O2317" t="str">
            <v>Finned Vane Air Filter</v>
          </cell>
        </row>
        <row r="2318">
          <cell r="K2318" t="str">
            <v>LAF2528</v>
          </cell>
          <cell r="L2318" t="str">
            <v>HD</v>
          </cell>
          <cell r="M2318" t="str">
            <v>x</v>
          </cell>
          <cell r="N2318" t="e">
            <v>#N/A</v>
          </cell>
          <cell r="O2318" t="str">
            <v>Finned Vane Air Filter</v>
          </cell>
        </row>
        <row r="2319">
          <cell r="K2319" t="str">
            <v>LP2249</v>
          </cell>
          <cell r="L2319" t="str">
            <v>HD</v>
          </cell>
          <cell r="M2319" t="str">
            <v>x</v>
          </cell>
          <cell r="N2319" t="e">
            <v>#N/A</v>
          </cell>
          <cell r="O2319" t="str">
            <v>Cartridge Oil Filter</v>
          </cell>
        </row>
        <row r="2320">
          <cell r="K2320" t="str">
            <v>LP5902</v>
          </cell>
          <cell r="L2320" t="str">
            <v>HD</v>
          </cell>
          <cell r="M2320" t="str">
            <v>x</v>
          </cell>
          <cell r="N2320" t="e">
            <v>#N/A</v>
          </cell>
          <cell r="O2320" t="str">
            <v>Cartridge Oil Filter</v>
          </cell>
        </row>
        <row r="2321">
          <cell r="K2321" t="str">
            <v>LH4993</v>
          </cell>
          <cell r="L2321" t="str">
            <v>HD</v>
          </cell>
          <cell r="M2321" t="str">
            <v>x</v>
          </cell>
          <cell r="N2321" t="e">
            <v>#N/A</v>
          </cell>
          <cell r="O2321" t="str">
            <v>Cartridge Hydraulic Filter</v>
          </cell>
        </row>
        <row r="2322">
          <cell r="K2322" t="str">
            <v>L4115F</v>
          </cell>
          <cell r="L2322" t="str">
            <v>HD</v>
          </cell>
          <cell r="M2322" t="str">
            <v>x</v>
          </cell>
          <cell r="N2322" t="e">
            <v>#N/A</v>
          </cell>
          <cell r="O2322" t="str">
            <v>Cartridge Fuel Filter</v>
          </cell>
        </row>
        <row r="2323">
          <cell r="K2323" t="str">
            <v>L3565F</v>
          </cell>
          <cell r="L2323" t="str">
            <v>HD</v>
          </cell>
          <cell r="M2323" t="str">
            <v>x</v>
          </cell>
          <cell r="N2323" t="e">
            <v>#N/A</v>
          </cell>
          <cell r="O2323" t="str">
            <v>Cartridge Fuel Filter</v>
          </cell>
        </row>
        <row r="2324">
          <cell r="K2324" t="str">
            <v>LK379V</v>
          </cell>
          <cell r="L2324" t="str">
            <v>HD</v>
          </cell>
          <cell r="O2324" t="str">
            <v>Maintenance Kit</v>
          </cell>
        </row>
        <row r="2325">
          <cell r="K2325" t="str">
            <v>LK376V</v>
          </cell>
          <cell r="L2325" t="str">
            <v>HD</v>
          </cell>
          <cell r="O2325" t="str">
            <v>Maintenance Kit</v>
          </cell>
        </row>
        <row r="2326">
          <cell r="K2326" t="str">
            <v>LK372V</v>
          </cell>
          <cell r="L2326" t="str">
            <v>HD</v>
          </cell>
          <cell r="M2326" t="str">
            <v>x</v>
          </cell>
          <cell r="N2326" t="e">
            <v>#N/A</v>
          </cell>
          <cell r="O2326" t="str">
            <v>Volvo Fleet Maintenance Kit</v>
          </cell>
        </row>
        <row r="2327">
          <cell r="K2327" t="str">
            <v>LFP8509</v>
          </cell>
          <cell r="L2327" t="str">
            <v>HD</v>
          </cell>
          <cell r="M2327" t="str">
            <v>x</v>
          </cell>
          <cell r="N2327" t="e">
            <v>#N/A</v>
          </cell>
          <cell r="O2327" t="str">
            <v>Spin-on Oil Filter</v>
          </cell>
        </row>
        <row r="2328">
          <cell r="K2328" t="str">
            <v>LFH4388</v>
          </cell>
          <cell r="L2328" t="str">
            <v>HD</v>
          </cell>
          <cell r="M2328" t="str">
            <v>x</v>
          </cell>
          <cell r="N2328" t="e">
            <v>#N/A</v>
          </cell>
          <cell r="O2328" t="str">
            <v>Spin-on Hydraulic Filter</v>
          </cell>
        </row>
        <row r="2329">
          <cell r="K2329" t="str">
            <v>LFH5014</v>
          </cell>
          <cell r="L2329" t="str">
            <v>HD</v>
          </cell>
          <cell r="M2329" t="str">
            <v>x</v>
          </cell>
          <cell r="N2329" t="e">
            <v>#N/A</v>
          </cell>
          <cell r="O2329" t="str">
            <v>Spin-on Hydraulic Filter</v>
          </cell>
        </row>
        <row r="2330">
          <cell r="K2330" t="str">
            <v>LFH4206</v>
          </cell>
          <cell r="L2330" t="str">
            <v>HD</v>
          </cell>
          <cell r="M2330" t="str">
            <v>x</v>
          </cell>
          <cell r="N2330" t="e">
            <v>#N/A</v>
          </cell>
          <cell r="O2330" t="str">
            <v>Spin-on Hydraulic Filter</v>
          </cell>
        </row>
        <row r="2331">
          <cell r="K2331" t="str">
            <v>KIT1</v>
          </cell>
          <cell r="L2331" t="str">
            <v>HD</v>
          </cell>
          <cell r="M2331" t="str">
            <v>x</v>
          </cell>
          <cell r="N2331" t="e">
            <v>#N/A</v>
          </cell>
          <cell r="O2331" t="str">
            <v>Service Gasket</v>
          </cell>
        </row>
        <row r="2332">
          <cell r="K2332" t="str">
            <v>LAF8530</v>
          </cell>
          <cell r="L2332" t="str">
            <v>HD</v>
          </cell>
          <cell r="M2332" t="str">
            <v>x</v>
          </cell>
          <cell r="N2332" t="e">
            <v>#N/A</v>
          </cell>
          <cell r="O2332" t="str">
            <v>Round Plastisol Air Filter</v>
          </cell>
        </row>
        <row r="2333">
          <cell r="K2333" t="str">
            <v>LAF1775</v>
          </cell>
          <cell r="L2333" t="str">
            <v>HD</v>
          </cell>
          <cell r="M2333" t="str">
            <v>x</v>
          </cell>
          <cell r="N2333" t="e">
            <v>#N/A</v>
          </cell>
          <cell r="O2333" t="str">
            <v>Round Inner Air Filter with Flanged Endcap</v>
          </cell>
        </row>
        <row r="2334">
          <cell r="K2334" t="str">
            <v>LAF189</v>
          </cell>
          <cell r="L2334" t="str">
            <v>HD</v>
          </cell>
          <cell r="M2334" t="str">
            <v>x</v>
          </cell>
          <cell r="N2334" t="e">
            <v>#N/A</v>
          </cell>
          <cell r="O2334" t="str">
            <v>Round Air Filter</v>
          </cell>
        </row>
        <row r="2335">
          <cell r="K2335" t="str">
            <v>LAF5796</v>
          </cell>
          <cell r="L2335" t="str">
            <v>HD</v>
          </cell>
          <cell r="M2335" t="str">
            <v>x</v>
          </cell>
          <cell r="N2335" t="e">
            <v>#N/A</v>
          </cell>
          <cell r="O2335" t="str">
            <v>Round Air Filter</v>
          </cell>
        </row>
        <row r="2336">
          <cell r="K2336" t="str">
            <v>LAF200</v>
          </cell>
          <cell r="L2336" t="str">
            <v>HD</v>
          </cell>
          <cell r="M2336" t="str">
            <v>x</v>
          </cell>
          <cell r="N2336" t="e">
            <v>#N/A</v>
          </cell>
          <cell r="O2336" t="str">
            <v>Round Air Filter</v>
          </cell>
        </row>
        <row r="2337">
          <cell r="K2337" t="str">
            <v>LAF5882</v>
          </cell>
          <cell r="L2337" t="str">
            <v>HD</v>
          </cell>
          <cell r="M2337" t="str">
            <v>x</v>
          </cell>
          <cell r="N2337" t="e">
            <v>#N/A</v>
          </cell>
          <cell r="O2337" t="str">
            <v>Round Air Filter</v>
          </cell>
        </row>
        <row r="2338">
          <cell r="K2338" t="str">
            <v>LAF8496</v>
          </cell>
          <cell r="L2338" t="str">
            <v>HD</v>
          </cell>
          <cell r="M2338" t="str">
            <v>x</v>
          </cell>
          <cell r="N2338" t="e">
            <v>#N/A</v>
          </cell>
          <cell r="O2338" t="str">
            <v>Radial Seal Outer Air Filter</v>
          </cell>
        </row>
        <row r="2339">
          <cell r="K2339" t="str">
            <v>LAF8748</v>
          </cell>
          <cell r="L2339" t="str">
            <v>HD</v>
          </cell>
          <cell r="M2339" t="str">
            <v>x</v>
          </cell>
          <cell r="N2339" t="e">
            <v>#N/A</v>
          </cell>
          <cell r="O2339" t="str">
            <v>Radial Seal Inner Air Filter</v>
          </cell>
        </row>
        <row r="2340">
          <cell r="K2340" t="str">
            <v>LAF2547</v>
          </cell>
          <cell r="L2340" t="str">
            <v>HD</v>
          </cell>
          <cell r="M2340" t="str">
            <v>x</v>
          </cell>
          <cell r="N2340" t="e">
            <v>#N/A</v>
          </cell>
          <cell r="O2340" t="str">
            <v>Heavy Duty Air Filter With Attached Lid</v>
          </cell>
        </row>
        <row r="2341">
          <cell r="K2341" t="str">
            <v>LP5577</v>
          </cell>
          <cell r="L2341" t="str">
            <v>HD</v>
          </cell>
          <cell r="M2341" t="str">
            <v>x</v>
          </cell>
          <cell r="N2341" t="e">
            <v>#N/A</v>
          </cell>
          <cell r="O2341" t="str">
            <v>HD Product</v>
          </cell>
        </row>
        <row r="2342">
          <cell r="K2342" t="str">
            <v>LAF8613</v>
          </cell>
          <cell r="L2342" t="str">
            <v>HD</v>
          </cell>
          <cell r="M2342" t="str">
            <v>x</v>
          </cell>
          <cell r="N2342" t="e">
            <v>#N/A</v>
          </cell>
          <cell r="O2342" t="str">
            <v>HD Metal-End Inner Air Filter</v>
          </cell>
        </row>
        <row r="2343">
          <cell r="K2343" t="str">
            <v>LAF1786</v>
          </cell>
          <cell r="L2343" t="str">
            <v>HD</v>
          </cell>
          <cell r="M2343" t="str">
            <v>x</v>
          </cell>
          <cell r="N2343" t="e">
            <v>#N/A</v>
          </cell>
          <cell r="O2343" t="str">
            <v>HD Metal-End Inner Air Filter</v>
          </cell>
        </row>
        <row r="2344">
          <cell r="K2344" t="str">
            <v>LAF8971</v>
          </cell>
          <cell r="L2344" t="str">
            <v>HD</v>
          </cell>
          <cell r="M2344" t="str">
            <v>x</v>
          </cell>
          <cell r="N2344" t="e">
            <v>#N/A</v>
          </cell>
          <cell r="O2344" t="str">
            <v>HD Metal-End Air Filter</v>
          </cell>
        </row>
        <row r="2345">
          <cell r="K2345" t="str">
            <v>LAF263</v>
          </cell>
          <cell r="L2345" t="str">
            <v>HD</v>
          </cell>
          <cell r="M2345" t="str">
            <v>x</v>
          </cell>
          <cell r="N2345" t="e">
            <v>#N/A</v>
          </cell>
          <cell r="O2345" t="str">
            <v>HD Metal-End Air Filter</v>
          </cell>
        </row>
        <row r="2346">
          <cell r="K2346" t="str">
            <v>LAF8991</v>
          </cell>
          <cell r="L2346" t="str">
            <v>HD</v>
          </cell>
          <cell r="M2346" t="str">
            <v>x</v>
          </cell>
          <cell r="N2346" t="e">
            <v>#N/A</v>
          </cell>
          <cell r="O2346" t="str">
            <v>HD Metal-End Air Filter</v>
          </cell>
        </row>
        <row r="2347">
          <cell r="K2347" t="str">
            <v>L897B</v>
          </cell>
          <cell r="L2347" t="str">
            <v>HD</v>
          </cell>
          <cell r="M2347" t="str">
            <v>x</v>
          </cell>
          <cell r="N2347" t="e">
            <v>#N/A</v>
          </cell>
          <cell r="O2347" t="str">
            <v>Glass Bowl with Sensor Port for LFF8061</v>
          </cell>
        </row>
        <row r="2348">
          <cell r="K2348" t="str">
            <v>LAF1467</v>
          </cell>
          <cell r="L2348" t="str">
            <v>HD</v>
          </cell>
          <cell r="M2348" t="str">
            <v>x</v>
          </cell>
          <cell r="N2348" t="e">
            <v>#N/A</v>
          </cell>
          <cell r="O2348" t="str">
            <v>Finned Vane Air Filter</v>
          </cell>
        </row>
        <row r="2349">
          <cell r="K2349" t="str">
            <v>LAF1976</v>
          </cell>
          <cell r="L2349" t="str">
            <v>HD</v>
          </cell>
          <cell r="M2349" t="str">
            <v>x</v>
          </cell>
          <cell r="N2349" t="str">
            <v>LAF1976</v>
          </cell>
          <cell r="O2349" t="str">
            <v>Finned Vane Air Filter</v>
          </cell>
        </row>
        <row r="2350">
          <cell r="K2350" t="str">
            <v>LK245C</v>
          </cell>
          <cell r="L2350" t="str">
            <v>HD</v>
          </cell>
          <cell r="M2350" t="str">
            <v>x</v>
          </cell>
          <cell r="N2350" t="e">
            <v>#N/A</v>
          </cell>
          <cell r="O2350" t="str">
            <v>Cummins Engine Maintenance Kit</v>
          </cell>
        </row>
        <row r="2351">
          <cell r="K2351" t="str">
            <v>LK327DF</v>
          </cell>
          <cell r="L2351" t="str">
            <v>HD</v>
          </cell>
          <cell r="M2351" t="str">
            <v>x</v>
          </cell>
          <cell r="N2351" t="e">
            <v>#N/A</v>
          </cell>
          <cell r="O2351" t="str">
            <v>Cummins Engine Maintenance Kit</v>
          </cell>
        </row>
        <row r="2352">
          <cell r="K2352" t="str">
            <v>LAF8565</v>
          </cell>
          <cell r="L2352" t="str">
            <v>HD</v>
          </cell>
          <cell r="M2352" t="str">
            <v>x</v>
          </cell>
          <cell r="N2352" t="e">
            <v>#N/A</v>
          </cell>
          <cell r="O2352" t="str">
            <v>Cone Shaped Conical Air Filter</v>
          </cell>
        </row>
        <row r="2353">
          <cell r="K2353" t="str">
            <v>LP2211</v>
          </cell>
          <cell r="L2353" t="str">
            <v>HD</v>
          </cell>
          <cell r="M2353" t="str">
            <v>x</v>
          </cell>
          <cell r="N2353" t="e">
            <v>#N/A</v>
          </cell>
          <cell r="O2353" t="str">
            <v>Cartridge Oil Filter</v>
          </cell>
        </row>
        <row r="2354">
          <cell r="K2354" t="str">
            <v>LH4231</v>
          </cell>
          <cell r="L2354" t="str">
            <v>HD</v>
          </cell>
          <cell r="M2354" t="str">
            <v>x</v>
          </cell>
          <cell r="N2354" t="e">
            <v>#N/A</v>
          </cell>
          <cell r="O2354" t="str">
            <v>Cartridge Hydraulic Filter</v>
          </cell>
        </row>
        <row r="2355">
          <cell r="K2355" t="str">
            <v>LH7048V</v>
          </cell>
          <cell r="L2355" t="str">
            <v>HD</v>
          </cell>
          <cell r="M2355" t="str">
            <v>x</v>
          </cell>
          <cell r="N2355" t="e">
            <v>#N/A</v>
          </cell>
          <cell r="O2355" t="str">
            <v>Cartridge Hydraulic Filter</v>
          </cell>
        </row>
        <row r="2356">
          <cell r="K2356" t="str">
            <v>LP8367</v>
          </cell>
          <cell r="L2356" t="str">
            <v>HD</v>
          </cell>
          <cell r="M2356" t="str">
            <v>x</v>
          </cell>
          <cell r="N2356" t="e">
            <v>#N/A</v>
          </cell>
          <cell r="O2356" t="str">
            <v>Cartridge Hydraulic Filter</v>
          </cell>
        </row>
        <row r="2357">
          <cell r="K2357" t="str">
            <v>LH95304V</v>
          </cell>
          <cell r="L2357" t="str">
            <v>HD</v>
          </cell>
          <cell r="M2357" t="str">
            <v>x</v>
          </cell>
          <cell r="N2357" t="e">
            <v>#N/A</v>
          </cell>
          <cell r="O2357" t="str">
            <v>Cartridge Hydraulic Filter</v>
          </cell>
        </row>
        <row r="2358">
          <cell r="K2358" t="str">
            <v>LH4480</v>
          </cell>
          <cell r="L2358" t="str">
            <v>HD</v>
          </cell>
          <cell r="M2358" t="str">
            <v>x</v>
          </cell>
          <cell r="N2358" t="e">
            <v>#N/A</v>
          </cell>
          <cell r="O2358" t="str">
            <v>Cartridge Hydraulic Filter</v>
          </cell>
        </row>
        <row r="2359">
          <cell r="K2359" t="str">
            <v>LH8510</v>
          </cell>
          <cell r="L2359" t="str">
            <v>HD</v>
          </cell>
          <cell r="M2359" t="str">
            <v>x</v>
          </cell>
          <cell r="N2359" t="e">
            <v>#N/A</v>
          </cell>
          <cell r="O2359" t="str">
            <v>Cartridge Hydraulic Filter</v>
          </cell>
        </row>
        <row r="2360">
          <cell r="K2360" t="str">
            <v>LH5746</v>
          </cell>
          <cell r="L2360" t="str">
            <v>HD</v>
          </cell>
          <cell r="M2360" t="str">
            <v>x</v>
          </cell>
          <cell r="N2360" t="e">
            <v>#N/A</v>
          </cell>
          <cell r="O2360" t="str">
            <v>Cartridge Hydraulic Filter</v>
          </cell>
        </row>
        <row r="2361">
          <cell r="K2361" t="str">
            <v>LH22067</v>
          </cell>
          <cell r="L2361" t="str">
            <v>HD</v>
          </cell>
          <cell r="M2361" t="str">
            <v>x</v>
          </cell>
          <cell r="N2361" t="e">
            <v>#N/A</v>
          </cell>
          <cell r="O2361" t="str">
            <v>Cartridge Hydraulic Filter</v>
          </cell>
        </row>
        <row r="2362">
          <cell r="K2362" t="str">
            <v>LH8788</v>
          </cell>
          <cell r="L2362" t="str">
            <v>HD</v>
          </cell>
          <cell r="M2362" t="str">
            <v>x</v>
          </cell>
          <cell r="N2362" t="e">
            <v>#N/A</v>
          </cell>
          <cell r="O2362" t="str">
            <v>Cartridge Hydraulic Filter</v>
          </cell>
        </row>
        <row r="2363">
          <cell r="K2363" t="str">
            <v>L5839F</v>
          </cell>
          <cell r="L2363" t="str">
            <v>HD</v>
          </cell>
          <cell r="M2363" t="str">
            <v>x</v>
          </cell>
          <cell r="N2363" t="e">
            <v>#N/A</v>
          </cell>
          <cell r="O2363" t="str">
            <v>Cartridge Fuel Filter</v>
          </cell>
        </row>
        <row r="2364">
          <cell r="K2364" t="str">
            <v>L4118F</v>
          </cell>
          <cell r="L2364" t="str">
            <v>HD</v>
          </cell>
          <cell r="M2364" t="str">
            <v>x</v>
          </cell>
          <cell r="N2364" t="e">
            <v>#N/A</v>
          </cell>
          <cell r="O2364" t="str">
            <v>Cartridge Fuel Filter</v>
          </cell>
        </row>
        <row r="2365">
          <cell r="K2365" t="str">
            <v>PACK</v>
          </cell>
          <cell r="L2365" t="str">
            <v>HD</v>
          </cell>
          <cell r="M2365" t="str">
            <v>x</v>
          </cell>
          <cell r="N2365" t="e">
            <v>#N/A</v>
          </cell>
          <cell r="O2365" t="str">
            <v>Washer, Pack Take-Up Assembly/F-120, F-155 &amp; F-170</v>
          </cell>
        </row>
        <row r="2366">
          <cell r="K2366" t="str">
            <v>LK296V</v>
          </cell>
          <cell r="L2366" t="str">
            <v>HD</v>
          </cell>
          <cell r="M2366" t="str">
            <v>x</v>
          </cell>
          <cell r="N2366" t="e">
            <v>#N/A</v>
          </cell>
          <cell r="O2366" t="str">
            <v>Volvo Engine Maintenance Kit</v>
          </cell>
        </row>
        <row r="2367">
          <cell r="K2367" t="str">
            <v>LK271V</v>
          </cell>
          <cell r="L2367" t="str">
            <v>HD</v>
          </cell>
          <cell r="M2367" t="str">
            <v>x</v>
          </cell>
          <cell r="N2367" t="e">
            <v>#N/A</v>
          </cell>
          <cell r="O2367" t="str">
            <v>Volvo Engine Maintenance Kit</v>
          </cell>
        </row>
        <row r="2368">
          <cell r="K2368" t="str">
            <v>LK287V</v>
          </cell>
          <cell r="L2368" t="str">
            <v>HD</v>
          </cell>
          <cell r="M2368" t="str">
            <v>x</v>
          </cell>
          <cell r="N2368" t="e">
            <v>#N/A</v>
          </cell>
          <cell r="O2368" t="str">
            <v>Volvo Engine Maintenance Kit</v>
          </cell>
        </row>
        <row r="2369">
          <cell r="K2369" t="str">
            <v>LK215V</v>
          </cell>
          <cell r="L2369" t="str">
            <v>HD</v>
          </cell>
          <cell r="M2369" t="str">
            <v>x</v>
          </cell>
          <cell r="N2369" t="e">
            <v>#N/A</v>
          </cell>
          <cell r="O2369" t="str">
            <v>Volvo Engine Maintenance Kit</v>
          </cell>
        </row>
        <row r="2370">
          <cell r="K2370" t="str">
            <v>LK274V</v>
          </cell>
          <cell r="L2370" t="str">
            <v>HD</v>
          </cell>
          <cell r="M2370" t="str">
            <v>x</v>
          </cell>
          <cell r="N2370" t="e">
            <v>#N/A</v>
          </cell>
          <cell r="O2370" t="str">
            <v>Volvo Engine Maintenance Kit</v>
          </cell>
        </row>
        <row r="2371">
          <cell r="K2371" t="str">
            <v>LK269V</v>
          </cell>
          <cell r="L2371" t="str">
            <v>HD</v>
          </cell>
          <cell r="M2371" t="str">
            <v>x</v>
          </cell>
          <cell r="N2371" t="e">
            <v>#N/A</v>
          </cell>
          <cell r="O2371" t="str">
            <v>Volvo Engine Maintenance Kit</v>
          </cell>
        </row>
        <row r="2372">
          <cell r="K2372" t="str">
            <v>55-13104</v>
          </cell>
          <cell r="L2372" t="str">
            <v>HD</v>
          </cell>
          <cell r="M2372" t="str">
            <v>x</v>
          </cell>
          <cell r="N2372" t="e">
            <v>#N/A</v>
          </cell>
          <cell r="O2372" t="str">
            <v>VLVE/CAP ASSY</v>
          </cell>
        </row>
        <row r="2373">
          <cell r="K2373" t="str">
            <v>55-13106</v>
          </cell>
          <cell r="L2373" t="str">
            <v>HD</v>
          </cell>
          <cell r="M2373" t="str">
            <v>x</v>
          </cell>
          <cell r="N2373" t="e">
            <v>#N/A</v>
          </cell>
          <cell r="O2373" t="str">
            <v>VLVE/CAP ASSY</v>
          </cell>
        </row>
        <row r="2374">
          <cell r="K2374" t="str">
            <v>VENT</v>
          </cell>
          <cell r="L2374" t="str">
            <v>HD</v>
          </cell>
          <cell r="M2374" t="str">
            <v>x</v>
          </cell>
          <cell r="N2374" t="e">
            <v>#N/A</v>
          </cell>
          <cell r="O2374" t="str">
            <v>Vent Plug/F-170-W</v>
          </cell>
        </row>
        <row r="2375">
          <cell r="K2375" t="str">
            <v>1/8</v>
          </cell>
          <cell r="L2375" t="str">
            <v>HD</v>
          </cell>
          <cell r="M2375" t="str">
            <v>x</v>
          </cell>
          <cell r="N2375" t="e">
            <v>#N/A</v>
          </cell>
          <cell r="O2375" t="str">
            <v>Vent Plug, Hex Head 1/8" N.P.T./F-120, F-155, F-170</v>
          </cell>
        </row>
        <row r="2376">
          <cell r="K2376" t="str">
            <v>LAFP4</v>
          </cell>
          <cell r="L2376" t="str">
            <v>HD</v>
          </cell>
          <cell r="M2376" t="str">
            <v>x</v>
          </cell>
          <cell r="N2376" t="e">
            <v>#N/A</v>
          </cell>
          <cell r="O2376" t="str">
            <v>Tube Type Air Filter</v>
          </cell>
        </row>
        <row r="2377">
          <cell r="K2377" t="str">
            <v>LABEL/DECAL</v>
          </cell>
          <cell r="L2377" t="str">
            <v>HD</v>
          </cell>
          <cell r="M2377" t="str">
            <v>x</v>
          </cell>
          <cell r="N2377" t="e">
            <v>#N/A</v>
          </cell>
          <cell r="O2377" t="str">
            <v>THERMO LABEL</v>
          </cell>
        </row>
        <row r="2378">
          <cell r="K2378" t="str">
            <v>LK336DF</v>
          </cell>
          <cell r="L2378" t="str">
            <v>HD</v>
          </cell>
          <cell r="M2378" t="str">
            <v>x</v>
          </cell>
          <cell r="N2378" t="e">
            <v>#N/A</v>
          </cell>
          <cell r="O2378" t="str">
            <v>Thermo King Engine Maintenance Kit</v>
          </cell>
        </row>
        <row r="2379">
          <cell r="K2379" t="str">
            <v>LK195T</v>
          </cell>
          <cell r="L2379" t="str">
            <v>HD</v>
          </cell>
          <cell r="M2379" t="str">
            <v>x</v>
          </cell>
          <cell r="N2379" t="e">
            <v>#N/A</v>
          </cell>
          <cell r="O2379" t="str">
            <v>Thermo King Engine Maintenance Kit</v>
          </cell>
        </row>
        <row r="2380">
          <cell r="K2380" t="str">
            <v>LK335DF</v>
          </cell>
          <cell r="L2380" t="str">
            <v>HD</v>
          </cell>
          <cell r="M2380" t="str">
            <v>x</v>
          </cell>
          <cell r="N2380" t="e">
            <v>#N/A</v>
          </cell>
          <cell r="O2380" t="str">
            <v>Thermo King Engine Maintenance Kit</v>
          </cell>
        </row>
        <row r="2381">
          <cell r="K2381" t="str">
            <v>LK328DF</v>
          </cell>
          <cell r="L2381" t="str">
            <v>HD</v>
          </cell>
          <cell r="M2381" t="str">
            <v>x</v>
          </cell>
          <cell r="N2381" t="e">
            <v>#N/A</v>
          </cell>
          <cell r="O2381" t="str">
            <v>Thermo King Engine Maintenance Kit</v>
          </cell>
        </row>
        <row r="2382">
          <cell r="K2382" t="str">
            <v>750CT</v>
          </cell>
          <cell r="L2382" t="str">
            <v>HD</v>
          </cell>
          <cell r="M2382" t="str">
            <v>x</v>
          </cell>
          <cell r="N2382" t="e">
            <v>#N/A</v>
          </cell>
          <cell r="O2382" t="str">
            <v>Standard Upright Refining Unit w/Filter Pack/750-C</v>
          </cell>
        </row>
        <row r="2383">
          <cell r="K2383" t="str">
            <v>500CT</v>
          </cell>
          <cell r="L2383" t="str">
            <v>HD</v>
          </cell>
          <cell r="M2383" t="str">
            <v>x</v>
          </cell>
          <cell r="N2383" t="e">
            <v>#N/A</v>
          </cell>
          <cell r="O2383" t="str">
            <v>Standard Upright Refining Unit Filter w/Filter Pack/500-C</v>
          </cell>
        </row>
        <row r="2384">
          <cell r="K2384" t="str">
            <v>PKGD</v>
          </cell>
          <cell r="L2384" t="str">
            <v>HD</v>
          </cell>
          <cell r="M2384" t="str">
            <v>x</v>
          </cell>
          <cell r="N2384" t="e">
            <v>#N/A</v>
          </cell>
          <cell r="O2384" t="str">
            <v>Standard Upright Microcell Unit w/Filter Pack/750-C, CT</v>
          </cell>
        </row>
        <row r="2385">
          <cell r="K2385" t="str">
            <v>750CT</v>
          </cell>
          <cell r="L2385" t="str">
            <v>HD</v>
          </cell>
          <cell r="M2385" t="str">
            <v>x</v>
          </cell>
          <cell r="N2385" t="e">
            <v>#N/A</v>
          </cell>
          <cell r="O2385" t="str">
            <v>Standard Upright 750-C Unit w/Imperial  Diesel Filter Pack</v>
          </cell>
        </row>
        <row r="2386">
          <cell r="K2386" t="str">
            <v>PACK</v>
          </cell>
          <cell r="L2386" t="str">
            <v>HD</v>
          </cell>
          <cell r="M2386" t="str">
            <v>x</v>
          </cell>
          <cell r="N2386" t="e">
            <v>#N/A</v>
          </cell>
          <cell r="O2386" t="str">
            <v>Spring/F-170, F-170-2, F-170-W</v>
          </cell>
        </row>
        <row r="2387">
          <cell r="K2387" t="str">
            <v>PACK</v>
          </cell>
          <cell r="L2387" t="str">
            <v>HD</v>
          </cell>
          <cell r="M2387" t="str">
            <v>x</v>
          </cell>
          <cell r="N2387" t="e">
            <v>#N/A</v>
          </cell>
          <cell r="O2387" t="str">
            <v>Spring Support Wacher, Steel/F-170, F-170-2, F-170-W</v>
          </cell>
        </row>
        <row r="2388">
          <cell r="K2388" t="str">
            <v>LFP8096</v>
          </cell>
          <cell r="L2388" t="str">
            <v>HD</v>
          </cell>
          <cell r="M2388" t="str">
            <v>x</v>
          </cell>
          <cell r="N2388" t="e">
            <v>#N/A</v>
          </cell>
          <cell r="O2388" t="str">
            <v>Spin-on Oil Filter</v>
          </cell>
        </row>
        <row r="2389">
          <cell r="K2389" t="str">
            <v>LFP3830</v>
          </cell>
          <cell r="L2389" t="str">
            <v>HD</v>
          </cell>
          <cell r="M2389" t="str">
            <v>x</v>
          </cell>
          <cell r="N2389" t="e">
            <v>#N/A</v>
          </cell>
          <cell r="O2389" t="str">
            <v>Spin-on Oil Filter</v>
          </cell>
        </row>
        <row r="2390">
          <cell r="K2390" t="str">
            <v>LFP8104</v>
          </cell>
          <cell r="L2390" t="str">
            <v>HD</v>
          </cell>
          <cell r="M2390" t="str">
            <v>x</v>
          </cell>
          <cell r="N2390" t="e">
            <v>#N/A</v>
          </cell>
          <cell r="O2390" t="str">
            <v>Spin-on Oil Filter</v>
          </cell>
        </row>
        <row r="2391">
          <cell r="K2391" t="str">
            <v>LFP8939</v>
          </cell>
          <cell r="L2391" t="str">
            <v>HD</v>
          </cell>
          <cell r="M2391" t="str">
            <v>x</v>
          </cell>
          <cell r="N2391" t="e">
            <v>#N/A</v>
          </cell>
          <cell r="O2391" t="str">
            <v>Spin-on Oil Filter</v>
          </cell>
        </row>
        <row r="2392">
          <cell r="K2392" t="str">
            <v>LFP5825</v>
          </cell>
          <cell r="L2392" t="str">
            <v>HD</v>
          </cell>
          <cell r="M2392" t="str">
            <v>x</v>
          </cell>
          <cell r="N2392" t="e">
            <v>#N/A</v>
          </cell>
          <cell r="O2392" t="str">
            <v>Spin-on Oil Filter</v>
          </cell>
        </row>
        <row r="2393">
          <cell r="K2393" t="str">
            <v>LP2278</v>
          </cell>
          <cell r="L2393" t="str">
            <v>HD</v>
          </cell>
          <cell r="M2393" t="str">
            <v>x</v>
          </cell>
          <cell r="N2393" t="e">
            <v>#N/A</v>
          </cell>
          <cell r="O2393" t="str">
            <v>Spin-on Oil Filter</v>
          </cell>
        </row>
        <row r="2394">
          <cell r="K2394" t="str">
            <v>LFH5939</v>
          </cell>
          <cell r="L2394" t="str">
            <v>HD</v>
          </cell>
          <cell r="M2394" t="str">
            <v>x</v>
          </cell>
          <cell r="N2394" t="e">
            <v>#N/A</v>
          </cell>
          <cell r="O2394" t="str">
            <v>Spin-on Hydraulic Filter</v>
          </cell>
        </row>
        <row r="2395">
          <cell r="K2395" t="str">
            <v>LFH4908</v>
          </cell>
          <cell r="L2395" t="str">
            <v>HD</v>
          </cell>
          <cell r="M2395" t="str">
            <v>x</v>
          </cell>
          <cell r="N2395" t="e">
            <v>#N/A</v>
          </cell>
          <cell r="O2395" t="str">
            <v>Spin-on Hydraulic Filter</v>
          </cell>
        </row>
        <row r="2396">
          <cell r="K2396" t="str">
            <v>LFH95415</v>
          </cell>
          <cell r="L2396" t="str">
            <v>HD</v>
          </cell>
          <cell r="M2396" t="str">
            <v>x</v>
          </cell>
          <cell r="N2396" t="e">
            <v>#N/A</v>
          </cell>
          <cell r="O2396" t="str">
            <v>Spin-on Hydraulic Filter</v>
          </cell>
        </row>
        <row r="2397">
          <cell r="K2397" t="str">
            <v>LFH8282</v>
          </cell>
          <cell r="L2397" t="str">
            <v>HD</v>
          </cell>
          <cell r="M2397" t="str">
            <v>x</v>
          </cell>
          <cell r="N2397" t="e">
            <v>#N/A</v>
          </cell>
          <cell r="O2397" t="str">
            <v>Spin-on Hydraulic Filter</v>
          </cell>
        </row>
        <row r="2398">
          <cell r="K2398" t="str">
            <v>LFF3572</v>
          </cell>
          <cell r="L2398" t="str">
            <v>HD</v>
          </cell>
          <cell r="M2398" t="str">
            <v>x</v>
          </cell>
          <cell r="N2398" t="str">
            <v>LFF3572</v>
          </cell>
          <cell r="O2398" t="str">
            <v>Spin-on Fuel Water Separator Filter</v>
          </cell>
        </row>
        <row r="2399">
          <cell r="K2399" t="str">
            <v>LFF5967</v>
          </cell>
          <cell r="L2399" t="str">
            <v>HD</v>
          </cell>
          <cell r="M2399" t="str">
            <v>x</v>
          </cell>
          <cell r="N2399" t="e">
            <v>#N/A</v>
          </cell>
          <cell r="O2399" t="str">
            <v>Spin-on Fuel Water Separator Filter</v>
          </cell>
        </row>
        <row r="2400">
          <cell r="K2400" t="str">
            <v>LFF3517</v>
          </cell>
          <cell r="L2400" t="str">
            <v>HD</v>
          </cell>
          <cell r="M2400" t="str">
            <v>x</v>
          </cell>
          <cell r="N2400" t="e">
            <v>#N/A</v>
          </cell>
          <cell r="O2400" t="str">
            <v>Spin-on Fuel Filter</v>
          </cell>
        </row>
        <row r="2401">
          <cell r="K2401" t="str">
            <v>LFF3500</v>
          </cell>
          <cell r="L2401" t="str">
            <v>HD</v>
          </cell>
          <cell r="M2401" t="str">
            <v>x</v>
          </cell>
          <cell r="N2401" t="e">
            <v>#N/A</v>
          </cell>
          <cell r="O2401" t="str">
            <v>Spin-on Fuel Filter</v>
          </cell>
        </row>
        <row r="2402">
          <cell r="K2402" t="str">
            <v>FP1000F</v>
          </cell>
          <cell r="L2402" t="str">
            <v>HD</v>
          </cell>
          <cell r="M2402" t="str">
            <v>x</v>
          </cell>
          <cell r="N2402" t="e">
            <v>#N/A</v>
          </cell>
          <cell r="O2402" t="str">
            <v>Spin-on Fuel Filter</v>
          </cell>
        </row>
        <row r="2403">
          <cell r="K2403" t="str">
            <v>LFF8739</v>
          </cell>
          <cell r="L2403" t="str">
            <v>HD</v>
          </cell>
          <cell r="M2403" t="str">
            <v>x</v>
          </cell>
          <cell r="N2403" t="e">
            <v>#N/A</v>
          </cell>
          <cell r="O2403" t="str">
            <v>Spin-on Fuel Filter</v>
          </cell>
        </row>
        <row r="2404">
          <cell r="K2404" t="str">
            <v>LFF8288</v>
          </cell>
          <cell r="L2404" t="str">
            <v>HD</v>
          </cell>
          <cell r="M2404" t="str">
            <v>x</v>
          </cell>
          <cell r="N2404" t="e">
            <v>#N/A</v>
          </cell>
          <cell r="O2404" t="str">
            <v>Spin-on Fuel Filter</v>
          </cell>
        </row>
        <row r="2405">
          <cell r="K2405" t="str">
            <v>LAF22088</v>
          </cell>
          <cell r="L2405" t="str">
            <v>HD</v>
          </cell>
          <cell r="M2405" t="str">
            <v>x</v>
          </cell>
          <cell r="N2405" t="e">
            <v>#N/A</v>
          </cell>
          <cell r="O2405" t="str">
            <v>Special Configuration Air Filter</v>
          </cell>
        </row>
        <row r="2406">
          <cell r="K2406" t="str">
            <v>LAF22048</v>
          </cell>
          <cell r="L2406" t="str">
            <v>HD</v>
          </cell>
          <cell r="M2406" t="str">
            <v>x</v>
          </cell>
          <cell r="N2406" t="e">
            <v>#N/A</v>
          </cell>
          <cell r="O2406" t="str">
            <v>Special Configuration Air Filter</v>
          </cell>
        </row>
        <row r="2407">
          <cell r="K2407" t="str">
            <v>L26</v>
          </cell>
          <cell r="L2407" t="str">
            <v>HD</v>
          </cell>
          <cell r="M2407" t="str">
            <v>x</v>
          </cell>
          <cell r="N2407" t="e">
            <v>#N/A</v>
          </cell>
          <cell r="O2407" t="str">
            <v>Sock Type Oil Filter</v>
          </cell>
        </row>
        <row r="2408">
          <cell r="K2408" t="str">
            <v>L8716F</v>
          </cell>
          <cell r="L2408" t="str">
            <v>HD</v>
          </cell>
          <cell r="M2408" t="str">
            <v>x</v>
          </cell>
          <cell r="N2408" t="e">
            <v>#N/A</v>
          </cell>
          <cell r="O2408" t="str">
            <v>Snap-Lock Fuel Filter</v>
          </cell>
        </row>
        <row r="2409">
          <cell r="K2409" t="str">
            <v>L3923F</v>
          </cell>
          <cell r="L2409" t="str">
            <v>HD</v>
          </cell>
          <cell r="M2409" t="str">
            <v>x</v>
          </cell>
          <cell r="N2409" t="e">
            <v>#N/A</v>
          </cell>
          <cell r="O2409" t="str">
            <v>Snap-Lock Fuel Filter</v>
          </cell>
        </row>
        <row r="2410">
          <cell r="K2410" t="str">
            <v>L3922F</v>
          </cell>
          <cell r="L2410" t="str">
            <v>HD</v>
          </cell>
          <cell r="M2410" t="str">
            <v>x</v>
          </cell>
          <cell r="N2410" t="e">
            <v>#N/A</v>
          </cell>
          <cell r="O2410" t="str">
            <v>Snap-Lock Fuel Filter</v>
          </cell>
        </row>
        <row r="2411">
          <cell r="K2411" t="str">
            <v>L3920F</v>
          </cell>
          <cell r="L2411" t="str">
            <v>HD</v>
          </cell>
          <cell r="M2411" t="str">
            <v>x</v>
          </cell>
          <cell r="N2411" t="e">
            <v>#N/A</v>
          </cell>
          <cell r="O2411" t="str">
            <v>Snap-Lock Fuel Filter</v>
          </cell>
        </row>
        <row r="2412">
          <cell r="K2412" t="str">
            <v>LAF1672</v>
          </cell>
          <cell r="L2412" t="str">
            <v>HD</v>
          </cell>
          <cell r="M2412" t="str">
            <v>x</v>
          </cell>
          <cell r="N2412" t="e">
            <v>#N/A</v>
          </cell>
          <cell r="O2412" t="str">
            <v>Screw On Breather Air Filter</v>
          </cell>
        </row>
        <row r="2413">
          <cell r="K2413" t="str">
            <v>LAF8403</v>
          </cell>
          <cell r="L2413" t="str">
            <v>HD</v>
          </cell>
          <cell r="M2413" t="str">
            <v>x</v>
          </cell>
          <cell r="N2413" t="e">
            <v>#N/A</v>
          </cell>
          <cell r="O2413" t="str">
            <v>Round Plastisol Air Filter</v>
          </cell>
        </row>
        <row r="2414">
          <cell r="K2414" t="str">
            <v>LAF2397</v>
          </cell>
          <cell r="L2414" t="str">
            <v>HD</v>
          </cell>
          <cell r="M2414" t="str">
            <v>x</v>
          </cell>
          <cell r="N2414" t="e">
            <v>#N/A</v>
          </cell>
          <cell r="O2414" t="str">
            <v>Round Inner Air Filter</v>
          </cell>
        </row>
        <row r="2415">
          <cell r="K2415" t="str">
            <v>LAF8377</v>
          </cell>
          <cell r="L2415" t="str">
            <v>HD</v>
          </cell>
          <cell r="M2415" t="str">
            <v>x</v>
          </cell>
          <cell r="N2415" t="e">
            <v>#N/A</v>
          </cell>
          <cell r="O2415" t="str">
            <v>Round Air Filter with Attached Lid</v>
          </cell>
        </row>
        <row r="2416">
          <cell r="K2416" t="str">
            <v>LAF8743</v>
          </cell>
          <cell r="L2416" t="str">
            <v>HD</v>
          </cell>
          <cell r="M2416" t="str">
            <v>x</v>
          </cell>
          <cell r="N2416" t="e">
            <v>#N/A</v>
          </cell>
          <cell r="O2416" t="str">
            <v>Round Air Filter</v>
          </cell>
        </row>
        <row r="2417">
          <cell r="K2417" t="str">
            <v>LAF624</v>
          </cell>
          <cell r="L2417" t="str">
            <v>HD</v>
          </cell>
          <cell r="M2417" t="str">
            <v>x</v>
          </cell>
          <cell r="N2417" t="e">
            <v>#N/A</v>
          </cell>
          <cell r="O2417" t="str">
            <v>Round Air Filter</v>
          </cell>
        </row>
        <row r="2418">
          <cell r="K2418" t="str">
            <v>LAF7533</v>
          </cell>
          <cell r="L2418" t="str">
            <v>HD</v>
          </cell>
          <cell r="M2418" t="str">
            <v>x</v>
          </cell>
          <cell r="N2418" t="e">
            <v>#N/A</v>
          </cell>
          <cell r="O2418" t="str">
            <v>Round Air Filter</v>
          </cell>
        </row>
        <row r="2419">
          <cell r="K2419" t="str">
            <v>LAF22012</v>
          </cell>
          <cell r="L2419" t="str">
            <v>HD</v>
          </cell>
          <cell r="M2419" t="str">
            <v>x</v>
          </cell>
          <cell r="N2419" t="e">
            <v>#N/A</v>
          </cell>
          <cell r="O2419" t="str">
            <v>Round Air Filter</v>
          </cell>
        </row>
        <row r="2420">
          <cell r="K2420" t="str">
            <v>LAF8284</v>
          </cell>
          <cell r="L2420" t="str">
            <v>HD</v>
          </cell>
          <cell r="M2420" t="str">
            <v>x</v>
          </cell>
          <cell r="N2420" t="e">
            <v>#N/A</v>
          </cell>
          <cell r="O2420" t="str">
            <v>Round Air Filter</v>
          </cell>
        </row>
        <row r="2421">
          <cell r="K2421" t="str">
            <v>LAF1962</v>
          </cell>
          <cell r="L2421" t="str">
            <v>HD</v>
          </cell>
          <cell r="M2421" t="str">
            <v>x</v>
          </cell>
          <cell r="N2421" t="e">
            <v>#N/A</v>
          </cell>
          <cell r="O2421" t="str">
            <v>Round Air Filter</v>
          </cell>
        </row>
        <row r="2422">
          <cell r="K2422" t="str">
            <v>LAF4158</v>
          </cell>
          <cell r="L2422" t="str">
            <v>HD</v>
          </cell>
          <cell r="M2422" t="str">
            <v>x</v>
          </cell>
          <cell r="N2422" t="e">
            <v>#N/A</v>
          </cell>
          <cell r="O2422" t="str">
            <v>Round Air Filter</v>
          </cell>
        </row>
        <row r="2423">
          <cell r="K2423" t="str">
            <v>LAF1463</v>
          </cell>
          <cell r="L2423" t="str">
            <v>HD</v>
          </cell>
          <cell r="M2423" t="str">
            <v>x</v>
          </cell>
          <cell r="N2423" t="e">
            <v>#N/A</v>
          </cell>
          <cell r="O2423" t="str">
            <v>Round Air Filter</v>
          </cell>
        </row>
        <row r="2424">
          <cell r="K2424" t="str">
            <v>LAF642</v>
          </cell>
          <cell r="L2424" t="str">
            <v>HD</v>
          </cell>
          <cell r="M2424" t="str">
            <v>x</v>
          </cell>
          <cell r="N2424" t="e">
            <v>#N/A</v>
          </cell>
          <cell r="O2424" t="str">
            <v>Round Air Filter</v>
          </cell>
        </row>
        <row r="2425">
          <cell r="K2425" t="str">
            <v>LAF8508</v>
          </cell>
          <cell r="L2425" t="str">
            <v>HD</v>
          </cell>
          <cell r="M2425" t="str">
            <v>x</v>
          </cell>
          <cell r="N2425" t="e">
            <v>#N/A</v>
          </cell>
          <cell r="O2425" t="str">
            <v>Round Air Filter</v>
          </cell>
        </row>
        <row r="2426">
          <cell r="K2426" t="str">
            <v>LAF8166</v>
          </cell>
          <cell r="L2426" t="str">
            <v>HD</v>
          </cell>
          <cell r="M2426" t="str">
            <v>x</v>
          </cell>
          <cell r="N2426" t="e">
            <v>#N/A</v>
          </cell>
          <cell r="O2426" t="str">
            <v>Round Air Filter</v>
          </cell>
        </row>
        <row r="2427">
          <cell r="K2427" t="str">
            <v>LAF4123</v>
          </cell>
          <cell r="L2427" t="str">
            <v>HD</v>
          </cell>
          <cell r="M2427" t="str">
            <v>x</v>
          </cell>
          <cell r="N2427" t="e">
            <v>#N/A</v>
          </cell>
          <cell r="O2427" t="str">
            <v>Round Air Filter</v>
          </cell>
        </row>
        <row r="2428">
          <cell r="K2428" t="str">
            <v>LAF8400</v>
          </cell>
          <cell r="L2428" t="str">
            <v>HD</v>
          </cell>
          <cell r="M2428" t="str">
            <v>x</v>
          </cell>
          <cell r="N2428" t="e">
            <v>#N/A</v>
          </cell>
          <cell r="O2428" t="str">
            <v>Round Air Filter</v>
          </cell>
        </row>
        <row r="2429">
          <cell r="K2429" t="str">
            <v>LAF1980</v>
          </cell>
          <cell r="L2429" t="str">
            <v>HD</v>
          </cell>
          <cell r="M2429" t="str">
            <v>x</v>
          </cell>
          <cell r="N2429" t="e">
            <v>#N/A</v>
          </cell>
          <cell r="O2429" t="str">
            <v>Round Air Filter</v>
          </cell>
        </row>
        <row r="2430">
          <cell r="K2430" t="str">
            <v>LAF276</v>
          </cell>
          <cell r="L2430" t="str">
            <v>HD</v>
          </cell>
          <cell r="M2430" t="str">
            <v>x</v>
          </cell>
          <cell r="N2430" t="e">
            <v>#N/A</v>
          </cell>
          <cell r="O2430" t="str">
            <v>Round Air Filter</v>
          </cell>
        </row>
        <row r="2431">
          <cell r="K2431" t="str">
            <v>LAF16</v>
          </cell>
          <cell r="L2431" t="str">
            <v>HD</v>
          </cell>
          <cell r="M2431" t="str">
            <v>x</v>
          </cell>
          <cell r="N2431" t="e">
            <v>#N/A</v>
          </cell>
          <cell r="O2431" t="str">
            <v>Round Air Filter</v>
          </cell>
        </row>
        <row r="2432">
          <cell r="K2432" t="str">
            <v>LAF5877</v>
          </cell>
          <cell r="L2432" t="str">
            <v>HD</v>
          </cell>
          <cell r="M2432" t="str">
            <v>x</v>
          </cell>
          <cell r="N2432" t="e">
            <v>#N/A</v>
          </cell>
          <cell r="O2432" t="str">
            <v>Round Air Filter</v>
          </cell>
        </row>
        <row r="2433">
          <cell r="K2433" t="str">
            <v>LAF6008</v>
          </cell>
          <cell r="L2433" t="str">
            <v>HD</v>
          </cell>
          <cell r="M2433" t="str">
            <v>x</v>
          </cell>
          <cell r="N2433" t="e">
            <v>#N/A</v>
          </cell>
          <cell r="O2433" t="str">
            <v>Round Air Filter</v>
          </cell>
        </row>
        <row r="2434">
          <cell r="K2434" t="str">
            <v>LAF22030</v>
          </cell>
          <cell r="L2434" t="str">
            <v>HD</v>
          </cell>
          <cell r="M2434" t="str">
            <v>x</v>
          </cell>
          <cell r="N2434" t="e">
            <v>#N/A</v>
          </cell>
          <cell r="O2434" t="str">
            <v>Round Air Filter</v>
          </cell>
        </row>
        <row r="2435">
          <cell r="K2435" t="str">
            <v>LAF1978</v>
          </cell>
          <cell r="L2435" t="str">
            <v>HD</v>
          </cell>
          <cell r="M2435" t="str">
            <v>x</v>
          </cell>
          <cell r="N2435" t="str">
            <v>LAF1978</v>
          </cell>
          <cell r="O2435" t="str">
            <v>Round Air Filter</v>
          </cell>
        </row>
        <row r="2436">
          <cell r="K2436" t="str">
            <v>LAF4287</v>
          </cell>
          <cell r="L2436" t="str">
            <v>HD</v>
          </cell>
          <cell r="M2436" t="str">
            <v>x</v>
          </cell>
          <cell r="N2436" t="e">
            <v>#N/A</v>
          </cell>
          <cell r="O2436" t="str">
            <v>Rigid Panel Air Filter</v>
          </cell>
        </row>
        <row r="2437">
          <cell r="K2437" t="str">
            <v>LAF130</v>
          </cell>
          <cell r="L2437" t="str">
            <v>HD</v>
          </cell>
          <cell r="M2437" t="str">
            <v>x</v>
          </cell>
          <cell r="N2437" t="e">
            <v>#N/A</v>
          </cell>
          <cell r="O2437" t="str">
            <v>Rigid Panel Air Filter</v>
          </cell>
        </row>
        <row r="2438">
          <cell r="K2438" t="str">
            <v>LAF22035</v>
          </cell>
          <cell r="L2438" t="str">
            <v>HD</v>
          </cell>
          <cell r="M2438" t="str">
            <v>x</v>
          </cell>
          <cell r="N2438" t="e">
            <v>#N/A</v>
          </cell>
          <cell r="O2438" t="str">
            <v>Rigid Panel Air Filter</v>
          </cell>
        </row>
        <row r="2439">
          <cell r="K2439" t="str">
            <v>LAF8782</v>
          </cell>
          <cell r="L2439" t="str">
            <v>HD</v>
          </cell>
          <cell r="M2439" t="str">
            <v>x</v>
          </cell>
          <cell r="N2439" t="e">
            <v>#N/A</v>
          </cell>
          <cell r="O2439" t="str">
            <v>Rigid Panel Air Filter</v>
          </cell>
        </row>
        <row r="2440">
          <cell r="K2440" t="str">
            <v>LAF8125</v>
          </cell>
          <cell r="L2440" t="str">
            <v>HD</v>
          </cell>
          <cell r="M2440" t="str">
            <v>x</v>
          </cell>
          <cell r="N2440" t="e">
            <v>#N/A</v>
          </cell>
          <cell r="O2440" t="str">
            <v>Rigid Panel Air Filter</v>
          </cell>
        </row>
        <row r="2441">
          <cell r="K2441" t="str">
            <v>PKGD</v>
          </cell>
          <cell r="L2441" t="str">
            <v>HD</v>
          </cell>
          <cell r="M2441" t="str">
            <v>x</v>
          </cell>
          <cell r="N2441" t="e">
            <v>#N/A</v>
          </cell>
          <cell r="O2441" t="str">
            <v>Refining Unit w/Floor Base &amp; Filter Pack/750-3C</v>
          </cell>
        </row>
        <row r="2442">
          <cell r="K2442" t="str">
            <v>PKGD</v>
          </cell>
          <cell r="L2442" t="str">
            <v>HD</v>
          </cell>
          <cell r="M2442" t="str">
            <v>x</v>
          </cell>
          <cell r="N2442" t="e">
            <v>#N/A</v>
          </cell>
          <cell r="O2442" t="str">
            <v>Refining Unit w/Floor Base &amp; Filter Pack/750-2</v>
          </cell>
        </row>
        <row r="2443">
          <cell r="K2443" t="str">
            <v>750-C</v>
          </cell>
          <cell r="L2443" t="str">
            <v>HD</v>
          </cell>
          <cell r="M2443" t="str">
            <v>x</v>
          </cell>
          <cell r="N2443" t="e">
            <v>#N/A</v>
          </cell>
          <cell r="O2443" t="str">
            <v>Refining Unit Filter For Fuel and Hydraulic Filtration (Unpainted)</v>
          </cell>
        </row>
        <row r="2444">
          <cell r="K2444" t="str">
            <v>750</v>
          </cell>
          <cell r="L2444" t="str">
            <v>HD</v>
          </cell>
          <cell r="M2444" t="str">
            <v>x</v>
          </cell>
          <cell r="N2444" t="e">
            <v>#N/A</v>
          </cell>
          <cell r="O2444" t="str">
            <v xml:space="preserve">Refining Hydropack/750C, CT Filter </v>
          </cell>
        </row>
        <row r="2445">
          <cell r="K2445" t="str">
            <v>750</v>
          </cell>
          <cell r="L2445" t="str">
            <v>HD</v>
          </cell>
          <cell r="M2445" t="str">
            <v>x</v>
          </cell>
          <cell r="N2445" t="e">
            <v>#N/A</v>
          </cell>
          <cell r="O2445" t="str">
            <v>Refining Filter Pack</v>
          </cell>
        </row>
        <row r="2446">
          <cell r="K2446" t="str">
            <v>LAF5238</v>
          </cell>
          <cell r="L2446" t="str">
            <v>HD</v>
          </cell>
          <cell r="M2446" t="str">
            <v>x</v>
          </cell>
          <cell r="N2446" t="e">
            <v>#N/A</v>
          </cell>
          <cell r="O2446" t="str">
            <v>Radial Seal Outer Air Filter</v>
          </cell>
        </row>
        <row r="2447">
          <cell r="K2447" t="str">
            <v>LAF8998</v>
          </cell>
          <cell r="L2447" t="str">
            <v>HD</v>
          </cell>
          <cell r="M2447" t="str">
            <v>x</v>
          </cell>
          <cell r="N2447" t="e">
            <v>#N/A</v>
          </cell>
          <cell r="O2447" t="str">
            <v>Radial Seal Outer Air Filter</v>
          </cell>
        </row>
        <row r="2448">
          <cell r="K2448" t="str">
            <v>LAF8840</v>
          </cell>
          <cell r="L2448" t="str">
            <v>HD</v>
          </cell>
          <cell r="M2448" t="str">
            <v>x</v>
          </cell>
          <cell r="N2448" t="e">
            <v>#N/A</v>
          </cell>
          <cell r="O2448" t="str">
            <v>Radial Seal Outer Air Filter</v>
          </cell>
        </row>
        <row r="2449">
          <cell r="K2449" t="str">
            <v>LAF8871</v>
          </cell>
          <cell r="L2449" t="str">
            <v>HD</v>
          </cell>
          <cell r="M2449" t="str">
            <v>x</v>
          </cell>
          <cell r="N2449" t="e">
            <v>#N/A</v>
          </cell>
          <cell r="O2449" t="str">
            <v>Radial Seal Outer Air Filter</v>
          </cell>
        </row>
        <row r="2450">
          <cell r="K2450" t="str">
            <v>LAF5044</v>
          </cell>
          <cell r="L2450" t="str">
            <v>HD</v>
          </cell>
          <cell r="M2450" t="str">
            <v>x</v>
          </cell>
          <cell r="N2450" t="e">
            <v>#N/A</v>
          </cell>
          <cell r="O2450" t="str">
            <v>Radial Seal Outer Air Filter</v>
          </cell>
        </row>
        <row r="2451">
          <cell r="K2451" t="str">
            <v>LAF8747</v>
          </cell>
          <cell r="L2451" t="str">
            <v>HD</v>
          </cell>
          <cell r="M2451" t="str">
            <v>x</v>
          </cell>
          <cell r="N2451" t="e">
            <v>#N/A</v>
          </cell>
          <cell r="O2451" t="str">
            <v>Radial Seal Inner Air Filter (Europe Only)</v>
          </cell>
        </row>
        <row r="2452">
          <cell r="K2452" t="str">
            <v>LAF5929</v>
          </cell>
          <cell r="L2452" t="str">
            <v>HD</v>
          </cell>
          <cell r="M2452" t="str">
            <v>x</v>
          </cell>
          <cell r="N2452" t="e">
            <v>#N/A</v>
          </cell>
          <cell r="O2452" t="str">
            <v>Radial Seal Inner Air Filter</v>
          </cell>
        </row>
        <row r="2453">
          <cell r="K2453" t="str">
            <v>LAF3861</v>
          </cell>
          <cell r="L2453" t="str">
            <v>HD</v>
          </cell>
          <cell r="M2453" t="str">
            <v>x</v>
          </cell>
          <cell r="N2453" t="e">
            <v>#N/A</v>
          </cell>
          <cell r="O2453" t="str">
            <v>Radial Seal Inner Air Filter</v>
          </cell>
        </row>
        <row r="2454">
          <cell r="K2454" t="str">
            <v>LAF5615</v>
          </cell>
          <cell r="L2454" t="str">
            <v>HD</v>
          </cell>
          <cell r="M2454" t="str">
            <v>x</v>
          </cell>
          <cell r="N2454" t="e">
            <v>#N/A</v>
          </cell>
          <cell r="O2454" t="str">
            <v>Radial Seal Inner Air Filter</v>
          </cell>
        </row>
        <row r="2455">
          <cell r="K2455" t="str">
            <v>LAF3934</v>
          </cell>
          <cell r="L2455" t="str">
            <v>HD</v>
          </cell>
          <cell r="M2455" t="str">
            <v>x</v>
          </cell>
          <cell r="N2455" t="e">
            <v>#N/A</v>
          </cell>
          <cell r="O2455" t="str">
            <v>Radial Seal Air Filter with Attached Finn</v>
          </cell>
        </row>
        <row r="2456">
          <cell r="K2456" t="str">
            <v>LAF5614</v>
          </cell>
          <cell r="L2456" t="str">
            <v>HD</v>
          </cell>
          <cell r="M2456" t="str">
            <v>x</v>
          </cell>
          <cell r="N2456" t="e">
            <v>#N/A</v>
          </cell>
          <cell r="O2456" t="str">
            <v>Radial Seal Air Filter</v>
          </cell>
        </row>
        <row r="2457">
          <cell r="K2457" t="str">
            <v>LAF4343</v>
          </cell>
          <cell r="L2457" t="str">
            <v>HD</v>
          </cell>
          <cell r="M2457" t="str">
            <v>x</v>
          </cell>
          <cell r="N2457" t="e">
            <v>#N/A</v>
          </cell>
          <cell r="O2457" t="str">
            <v>Pre-cleaner Air Filter</v>
          </cell>
        </row>
        <row r="2458">
          <cell r="K2458" t="str">
            <v>LAF4357</v>
          </cell>
          <cell r="L2458" t="str">
            <v>HD</v>
          </cell>
          <cell r="M2458" t="str">
            <v>x</v>
          </cell>
          <cell r="N2458" t="e">
            <v>#N/A</v>
          </cell>
          <cell r="O2458" t="str">
            <v>Pre-cleaner Air Filter</v>
          </cell>
        </row>
        <row r="2459">
          <cell r="K2459" t="str">
            <v>PKGD</v>
          </cell>
          <cell r="L2459" t="str">
            <v>HD</v>
          </cell>
          <cell r="M2459" t="str">
            <v>x</v>
          </cell>
          <cell r="N2459" t="e">
            <v>#N/A</v>
          </cell>
          <cell r="O2459" t="str">
            <v>PKG UNT &amp; PAC</v>
          </cell>
        </row>
        <row r="2460">
          <cell r="K2460" t="str">
            <v>PKGD</v>
          </cell>
          <cell r="L2460" t="str">
            <v>HD</v>
          </cell>
          <cell r="M2460" t="str">
            <v>x</v>
          </cell>
          <cell r="N2460" t="e">
            <v>#N/A</v>
          </cell>
          <cell r="O2460" t="str">
            <v>PKG UN &amp; PACK</v>
          </cell>
        </row>
        <row r="2461">
          <cell r="K2461" t="str">
            <v>PKGD</v>
          </cell>
          <cell r="L2461" t="str">
            <v>HD</v>
          </cell>
          <cell r="M2461" t="str">
            <v>x</v>
          </cell>
          <cell r="N2461" t="e">
            <v>#N/A</v>
          </cell>
          <cell r="O2461" t="str">
            <v>PKG UN &amp; PACK</v>
          </cell>
        </row>
        <row r="2462">
          <cell r="K2462" t="str">
            <v>PKGD</v>
          </cell>
          <cell r="L2462" t="str">
            <v>HD</v>
          </cell>
          <cell r="M2462" t="str">
            <v>x</v>
          </cell>
          <cell r="N2462" t="e">
            <v>#N/A</v>
          </cell>
          <cell r="O2462" t="str">
            <v>PKG U PK &amp; BS</v>
          </cell>
        </row>
        <row r="2463">
          <cell r="K2463" t="str">
            <v>PKGD</v>
          </cell>
          <cell r="L2463" t="str">
            <v>HD</v>
          </cell>
          <cell r="M2463" t="str">
            <v>x</v>
          </cell>
          <cell r="N2463" t="e">
            <v>#N/A</v>
          </cell>
          <cell r="O2463" t="str">
            <v>PKG PAC &amp; BSE</v>
          </cell>
        </row>
        <row r="2464">
          <cell r="K2464" t="str">
            <v>LAF2527</v>
          </cell>
          <cell r="L2464" t="str">
            <v>HD</v>
          </cell>
          <cell r="M2464" t="str">
            <v>x</v>
          </cell>
          <cell r="N2464" t="str">
            <v>LAF2527</v>
          </cell>
          <cell r="O2464" t="str">
            <v>Panel Air Filter Metal Framed</v>
          </cell>
        </row>
        <row r="2465">
          <cell r="K2465" t="str">
            <v>LAF1788</v>
          </cell>
          <cell r="L2465" t="str">
            <v>HD</v>
          </cell>
          <cell r="M2465" t="str">
            <v>x</v>
          </cell>
          <cell r="N2465" t="e">
            <v>#N/A</v>
          </cell>
          <cell r="O2465" t="str">
            <v>Panel Air Filter Metal Framed</v>
          </cell>
        </row>
        <row r="2466">
          <cell r="K2466" t="str">
            <v>LAF1896</v>
          </cell>
          <cell r="L2466" t="str">
            <v>HD</v>
          </cell>
          <cell r="M2466" t="str">
            <v>x</v>
          </cell>
          <cell r="N2466" t="e">
            <v>#N/A</v>
          </cell>
          <cell r="O2466" t="str">
            <v>Panel Air Filter Metal Framed</v>
          </cell>
        </row>
        <row r="2467">
          <cell r="K2467" t="str">
            <v>LAF22053</v>
          </cell>
          <cell r="L2467" t="str">
            <v>HD</v>
          </cell>
          <cell r="M2467" t="str">
            <v>x</v>
          </cell>
          <cell r="N2467" t="e">
            <v>#N/A</v>
          </cell>
          <cell r="O2467" t="str">
            <v>Panel Air Filter Metal Framed</v>
          </cell>
        </row>
        <row r="2468">
          <cell r="K2468" t="str">
            <v>LAF4164</v>
          </cell>
          <cell r="L2468" t="str">
            <v>HD</v>
          </cell>
          <cell r="M2468" t="str">
            <v>x</v>
          </cell>
          <cell r="N2468" t="e">
            <v>#N/A</v>
          </cell>
          <cell r="O2468" t="str">
            <v>Panel Air Filter Metal Framed</v>
          </cell>
        </row>
        <row r="2469">
          <cell r="K2469" t="str">
            <v>LAF1351</v>
          </cell>
          <cell r="L2469" t="str">
            <v>HD</v>
          </cell>
          <cell r="M2469" t="str">
            <v>x</v>
          </cell>
          <cell r="N2469" t="e">
            <v>#N/A</v>
          </cell>
          <cell r="O2469" t="str">
            <v>Panel Air Filter Metal Framed</v>
          </cell>
        </row>
        <row r="2470">
          <cell r="K2470" t="str">
            <v>LAF1897</v>
          </cell>
          <cell r="L2470" t="str">
            <v>HD</v>
          </cell>
          <cell r="M2470" t="str">
            <v>x</v>
          </cell>
          <cell r="N2470" t="e">
            <v>#N/A</v>
          </cell>
          <cell r="O2470" t="str">
            <v>Panel Air Filter Metal Framed</v>
          </cell>
        </row>
        <row r="2471">
          <cell r="K2471" t="str">
            <v>LAF8775</v>
          </cell>
          <cell r="L2471" t="str">
            <v>HD</v>
          </cell>
          <cell r="M2471" t="str">
            <v>x</v>
          </cell>
          <cell r="N2471" t="e">
            <v>#N/A</v>
          </cell>
          <cell r="O2471" t="str">
            <v>Panel Air Filter Metal Framed</v>
          </cell>
        </row>
        <row r="2472">
          <cell r="K2472" t="str">
            <v>LAF1792</v>
          </cell>
          <cell r="L2472" t="str">
            <v>HD</v>
          </cell>
          <cell r="M2472" t="str">
            <v>x</v>
          </cell>
          <cell r="N2472" t="e">
            <v>#N/A</v>
          </cell>
          <cell r="O2472" t="str">
            <v>Panel Air Filter Metal Framed</v>
          </cell>
        </row>
        <row r="2473">
          <cell r="K2473" t="str">
            <v>LAF1797</v>
          </cell>
          <cell r="L2473" t="str">
            <v>HD</v>
          </cell>
          <cell r="M2473" t="str">
            <v>x</v>
          </cell>
          <cell r="N2473" t="e">
            <v>#N/A</v>
          </cell>
          <cell r="O2473" t="str">
            <v>Panel Air Filter Metal Framed</v>
          </cell>
        </row>
        <row r="2474">
          <cell r="K2474" t="str">
            <v>LAF8697</v>
          </cell>
          <cell r="L2474" t="str">
            <v>HD</v>
          </cell>
          <cell r="M2474" t="str">
            <v>x</v>
          </cell>
          <cell r="N2474" t="e">
            <v>#N/A</v>
          </cell>
          <cell r="O2474" t="str">
            <v>Panel Air Filter</v>
          </cell>
        </row>
        <row r="2475">
          <cell r="K2475" t="str">
            <v>LAF8348</v>
          </cell>
          <cell r="L2475" t="str">
            <v>HD</v>
          </cell>
          <cell r="M2475" t="str">
            <v>x</v>
          </cell>
          <cell r="N2475" t="e">
            <v>#N/A</v>
          </cell>
          <cell r="O2475" t="str">
            <v>Panel Air Filter</v>
          </cell>
        </row>
        <row r="2476">
          <cell r="K2476" t="str">
            <v>PACK</v>
          </cell>
          <cell r="L2476" t="str">
            <v>HD</v>
          </cell>
          <cell r="M2476" t="str">
            <v>x</v>
          </cell>
          <cell r="N2476" t="e">
            <v>#N/A</v>
          </cell>
          <cell r="O2476" t="str">
            <v>Pack Support/363-C</v>
          </cell>
        </row>
        <row r="2477">
          <cell r="K2477">
            <v>4783</v>
          </cell>
          <cell r="L2477" t="str">
            <v>HD</v>
          </cell>
          <cell r="M2477" t="str">
            <v>x</v>
          </cell>
          <cell r="N2477" t="e">
            <v>#N/A</v>
          </cell>
          <cell r="O2477" t="str">
            <v>Pack Support Plate/500-C, 750-C</v>
          </cell>
        </row>
        <row r="2478">
          <cell r="K2478" t="str">
            <v>PACK</v>
          </cell>
          <cell r="L2478" t="str">
            <v>HD</v>
          </cell>
          <cell r="M2478" t="str">
            <v>x</v>
          </cell>
          <cell r="N2478" t="e">
            <v>#N/A</v>
          </cell>
          <cell r="O2478" t="str">
            <v>Pack Support Cup/500-CT, 750-CT (Inverted Units)</v>
          </cell>
        </row>
        <row r="2479">
          <cell r="K2479">
            <v>3248</v>
          </cell>
          <cell r="L2479" t="str">
            <v>HD</v>
          </cell>
          <cell r="M2479" t="str">
            <v>x</v>
          </cell>
          <cell r="N2479" t="e">
            <v>#N/A</v>
          </cell>
          <cell r="O2479" t="str">
            <v>Pack Support Cup/500-C, 750-C (Inverted Units)</v>
          </cell>
        </row>
        <row r="2480">
          <cell r="K2480" t="str">
            <v>5555</v>
          </cell>
          <cell r="L2480" t="str">
            <v>HD</v>
          </cell>
          <cell r="M2480" t="str">
            <v>x</v>
          </cell>
          <cell r="N2480" t="e">
            <v>#N/A</v>
          </cell>
          <cell r="O2480" t="str">
            <v>Pack Hold-down Assembly w/Thermostat/500-CT, 750-CT</v>
          </cell>
        </row>
        <row r="2481">
          <cell r="K2481" t="str">
            <v>3257</v>
          </cell>
          <cell r="L2481" t="str">
            <v>HD</v>
          </cell>
          <cell r="M2481" t="str">
            <v>x</v>
          </cell>
          <cell r="N2481" t="e">
            <v>#N/A</v>
          </cell>
          <cell r="O2481" t="str">
            <v>Pack Hold Down Assembly/750-C (Inverted Unit)</v>
          </cell>
        </row>
        <row r="2482">
          <cell r="K2482" t="str">
            <v>32576</v>
          </cell>
          <cell r="L2482" t="str">
            <v>HD</v>
          </cell>
          <cell r="M2482" t="str">
            <v>x</v>
          </cell>
          <cell r="N2482" t="e">
            <v>#N/A</v>
          </cell>
          <cell r="O2482" t="str">
            <v>Pack Hold Down Assembly w/#6 Orifice/500-C (Inverted Units)</v>
          </cell>
        </row>
        <row r="2483">
          <cell r="K2483" t="str">
            <v>LAF5604</v>
          </cell>
          <cell r="L2483" t="str">
            <v>HD</v>
          </cell>
          <cell r="M2483" t="str">
            <v>x</v>
          </cell>
          <cell r="N2483" t="e">
            <v>#N/A</v>
          </cell>
          <cell r="O2483" t="str">
            <v>Oval Air Filter</v>
          </cell>
        </row>
        <row r="2484">
          <cell r="K2484" t="str">
            <v>LAF22046</v>
          </cell>
          <cell r="L2484" t="str">
            <v>HD</v>
          </cell>
          <cell r="M2484" t="str">
            <v>x</v>
          </cell>
          <cell r="N2484" t="e">
            <v>#N/A</v>
          </cell>
          <cell r="O2484" t="str">
            <v>Oval Air Filter</v>
          </cell>
        </row>
        <row r="2485">
          <cell r="K2485" t="str">
            <v>OUTLET</v>
          </cell>
          <cell r="L2485" t="str">
            <v>HD</v>
          </cell>
          <cell r="M2485" t="str">
            <v>x</v>
          </cell>
          <cell r="N2485" t="e">
            <v>#N/A</v>
          </cell>
          <cell r="O2485" t="str">
            <v>Outlet Tube/750-3C</v>
          </cell>
        </row>
        <row r="2486">
          <cell r="K2486" t="str">
            <v>OUTLET</v>
          </cell>
          <cell r="L2486" t="str">
            <v>HD</v>
          </cell>
          <cell r="M2486" t="str">
            <v>x</v>
          </cell>
          <cell r="N2486" t="e">
            <v>#N/A</v>
          </cell>
          <cell r="O2486" t="str">
            <v>Outlet Tube/750-2C</v>
          </cell>
        </row>
        <row r="2487">
          <cell r="K2487" t="str">
            <v>OUTLT</v>
          </cell>
          <cell r="L2487" t="str">
            <v>HD</v>
          </cell>
          <cell r="M2487" t="str">
            <v>x</v>
          </cell>
          <cell r="N2487" t="e">
            <v>#N/A</v>
          </cell>
          <cell r="O2487" t="str">
            <v>Outlet Tube and Nut Assembly w/Bleeder/750-CT (Inverted Units)</v>
          </cell>
        </row>
        <row r="2488">
          <cell r="K2488" t="str">
            <v>O/T</v>
          </cell>
          <cell r="L2488" t="str">
            <v>HD</v>
          </cell>
          <cell r="M2488" t="str">
            <v>x</v>
          </cell>
          <cell r="N2488" t="e">
            <v>#N/A</v>
          </cell>
          <cell r="O2488" t="str">
            <v>Outlet Tube and Nut Assembly w/Bleeder/500-CT (Inverted Units)</v>
          </cell>
        </row>
        <row r="2489">
          <cell r="K2489" t="str">
            <v>O/T</v>
          </cell>
          <cell r="L2489" t="str">
            <v>HD</v>
          </cell>
          <cell r="M2489" t="str">
            <v>x</v>
          </cell>
          <cell r="N2489" t="e">
            <v>#N/A</v>
          </cell>
          <cell r="O2489" t="str">
            <v>Outlet Tube and Nut Assembly (Std.)/750-CT</v>
          </cell>
        </row>
        <row r="2490">
          <cell r="K2490" t="str">
            <v>O/T</v>
          </cell>
          <cell r="L2490" t="str">
            <v>HD</v>
          </cell>
          <cell r="M2490" t="str">
            <v>x</v>
          </cell>
          <cell r="N2490" t="e">
            <v>#N/A</v>
          </cell>
          <cell r="O2490" t="str">
            <v>Outlet Tube and Nut Assembly (Std.)/500-CT</v>
          </cell>
        </row>
        <row r="2491">
          <cell r="K2491" t="str">
            <v>750</v>
          </cell>
          <cell r="L2491" t="str">
            <v>HD</v>
          </cell>
          <cell r="M2491" t="str">
            <v>x</v>
          </cell>
          <cell r="N2491" t="e">
            <v>#N/A</v>
          </cell>
          <cell r="O2491" t="str">
            <v>Outlet Tube &amp; Nut Assembly w/Bleeder/750-C (Inverted Unit)</v>
          </cell>
        </row>
        <row r="2492">
          <cell r="K2492" t="str">
            <v>O/T</v>
          </cell>
          <cell r="L2492" t="str">
            <v>HD</v>
          </cell>
          <cell r="M2492" t="str">
            <v>x</v>
          </cell>
          <cell r="N2492" t="e">
            <v>#N/A</v>
          </cell>
          <cell r="O2492" t="str">
            <v>Outlet Tube &amp; Nut Assembly w/Bleeder/500-C (Inverted Units)</v>
          </cell>
        </row>
        <row r="2493">
          <cell r="K2493" t="str">
            <v>O/T</v>
          </cell>
          <cell r="L2493" t="str">
            <v>HD</v>
          </cell>
          <cell r="M2493" t="str">
            <v>x</v>
          </cell>
          <cell r="N2493" t="e">
            <v>#N/A</v>
          </cell>
          <cell r="O2493" t="str">
            <v>Outlet Tube &amp; Nut Assembly (Std.)/750-B, C</v>
          </cell>
        </row>
        <row r="2494">
          <cell r="K2494" t="str">
            <v>O/T</v>
          </cell>
          <cell r="L2494" t="str">
            <v>HD</v>
          </cell>
          <cell r="M2494" t="str">
            <v>x</v>
          </cell>
          <cell r="N2494" t="e">
            <v>#N/A</v>
          </cell>
          <cell r="O2494" t="str">
            <v>Outlet Tube &amp; Nut Assembly (Std.)/500-B &amp; C</v>
          </cell>
        </row>
        <row r="2495">
          <cell r="K2495" t="str">
            <v>OUTLET</v>
          </cell>
          <cell r="L2495" t="str">
            <v>HD</v>
          </cell>
          <cell r="M2495" t="str">
            <v>x</v>
          </cell>
          <cell r="N2495" t="e">
            <v>#N/A</v>
          </cell>
          <cell r="O2495" t="str">
            <v>Outlet Post/363-C</v>
          </cell>
        </row>
        <row r="2496">
          <cell r="K2496" t="str">
            <v>OUTLET</v>
          </cell>
          <cell r="L2496" t="str">
            <v>HD</v>
          </cell>
          <cell r="M2496" t="str">
            <v>x</v>
          </cell>
          <cell r="N2496" t="e">
            <v>#N/A</v>
          </cell>
          <cell r="O2496" t="str">
            <v>Outlet Check Valve Assembly/363-C</v>
          </cell>
        </row>
        <row r="2497">
          <cell r="K2497" t="str">
            <v>3776</v>
          </cell>
          <cell r="L2497" t="str">
            <v>HD</v>
          </cell>
          <cell r="M2497" t="str">
            <v>x</v>
          </cell>
          <cell r="N2497" t="e">
            <v>#N/A</v>
          </cell>
          <cell r="O2497" t="str">
            <v>O-Ring, Replaces Cummins 116024</v>
          </cell>
        </row>
        <row r="2498">
          <cell r="K2498">
            <v>21596</v>
          </cell>
          <cell r="L2498" t="str">
            <v>HD</v>
          </cell>
          <cell r="M2498" t="str">
            <v>x</v>
          </cell>
          <cell r="N2498" t="e">
            <v>#N/A</v>
          </cell>
          <cell r="O2498" t="str">
            <v>Orifice Plug, .101" Diameter/500-C, 750-C</v>
          </cell>
        </row>
        <row r="2499">
          <cell r="K2499">
            <v>21594</v>
          </cell>
          <cell r="L2499" t="str">
            <v>HD</v>
          </cell>
          <cell r="M2499" t="str">
            <v>x</v>
          </cell>
          <cell r="N2499" t="e">
            <v>#N/A</v>
          </cell>
          <cell r="O2499" t="str">
            <v>Orifice Plug 750C</v>
          </cell>
        </row>
        <row r="2500">
          <cell r="K2500">
            <v>21595</v>
          </cell>
          <cell r="L2500" t="str">
            <v>HD</v>
          </cell>
          <cell r="M2500" t="str">
            <v>x</v>
          </cell>
          <cell r="N2500" t="e">
            <v>#N/A</v>
          </cell>
          <cell r="O2500" t="str">
            <v>Orifice Plug 750C</v>
          </cell>
        </row>
        <row r="2501">
          <cell r="K2501">
            <v>130612</v>
          </cell>
          <cell r="L2501" t="str">
            <v>HD</v>
          </cell>
          <cell r="M2501" t="str">
            <v>x</v>
          </cell>
          <cell r="N2501" t="e">
            <v>#N/A</v>
          </cell>
          <cell r="O2501" t="str">
            <v>ORIFICE 12/64</v>
          </cell>
        </row>
        <row r="2502">
          <cell r="K2502">
            <v>130610</v>
          </cell>
          <cell r="L2502" t="str">
            <v>HD</v>
          </cell>
          <cell r="M2502" t="str">
            <v>x</v>
          </cell>
          <cell r="N2502" t="e">
            <v>#N/A</v>
          </cell>
          <cell r="O2502" t="str">
            <v>ORIFICE 10/64</v>
          </cell>
        </row>
        <row r="2503">
          <cell r="K2503">
            <v>215993</v>
          </cell>
          <cell r="L2503" t="str">
            <v>HD</v>
          </cell>
          <cell r="M2503" t="str">
            <v>x</v>
          </cell>
          <cell r="N2503" t="e">
            <v>#N/A</v>
          </cell>
          <cell r="O2503" t="str">
            <v>ORIFICE .093</v>
          </cell>
        </row>
        <row r="2504">
          <cell r="K2504" t="str">
            <v>4330</v>
          </cell>
          <cell r="L2504" t="str">
            <v>HD</v>
          </cell>
          <cell r="M2504" t="str">
            <v>x</v>
          </cell>
          <cell r="N2504" t="e">
            <v>#N/A</v>
          </cell>
          <cell r="O2504" t="str">
            <v>Oil Return Fitting/Installation Item</v>
          </cell>
        </row>
        <row r="2505">
          <cell r="K2505" t="str">
            <v>BAGGED</v>
          </cell>
          <cell r="L2505" t="str">
            <v>HD</v>
          </cell>
          <cell r="M2505" t="str">
            <v>x</v>
          </cell>
          <cell r="N2505" t="e">
            <v>#N/A</v>
          </cell>
          <cell r="O2505" t="str">
            <v>No. 8 Orifice Opening size is .125; Flow rate is 2 GPM</v>
          </cell>
        </row>
        <row r="2506">
          <cell r="K2506" t="str">
            <v>BAGGED</v>
          </cell>
          <cell r="L2506" t="str">
            <v>HD</v>
          </cell>
          <cell r="M2506" t="str">
            <v>x</v>
          </cell>
          <cell r="N2506" t="e">
            <v>#N/A</v>
          </cell>
          <cell r="O2506" t="str">
            <v>No. 6 Orifice Opening size is .100; Flow rate is 1.5 GPM</v>
          </cell>
        </row>
        <row r="2507">
          <cell r="K2507" t="str">
            <v>BAGGED</v>
          </cell>
          <cell r="L2507" t="str">
            <v>HD</v>
          </cell>
          <cell r="M2507" t="str">
            <v>x</v>
          </cell>
          <cell r="N2507" t="e">
            <v>#N/A</v>
          </cell>
          <cell r="O2507" t="str">
            <v>No. 5 Orifice Opening size is .078; Flow rate is .8 GPM</v>
          </cell>
        </row>
        <row r="2508">
          <cell r="K2508" t="str">
            <v>LAF1845MXM</v>
          </cell>
          <cell r="L2508" t="str">
            <v>HD</v>
          </cell>
          <cell r="M2508" t="str">
            <v>x</v>
          </cell>
          <cell r="N2508" t="e">
            <v>#N/A</v>
          </cell>
          <cell r="O2508" t="str">
            <v>Nano Tech w/Attached boot Air Filter</v>
          </cell>
        </row>
        <row r="2509">
          <cell r="K2509" t="str">
            <v>LAF1810MXM</v>
          </cell>
          <cell r="L2509" t="str">
            <v>HD</v>
          </cell>
          <cell r="M2509" t="str">
            <v>x</v>
          </cell>
          <cell r="N2509" t="e">
            <v>#N/A</v>
          </cell>
          <cell r="O2509" t="str">
            <v>Nano Tech w/Attached boot Air Filter</v>
          </cell>
        </row>
        <row r="2510">
          <cell r="K2510" t="str">
            <v>LAF4498MXM</v>
          </cell>
          <cell r="L2510" t="str">
            <v>HD</v>
          </cell>
          <cell r="M2510" t="str">
            <v>x</v>
          </cell>
          <cell r="N2510" t="e">
            <v>#N/A</v>
          </cell>
          <cell r="O2510" t="str">
            <v>Nano Tech Radial Seal Air Filter</v>
          </cell>
        </row>
        <row r="2511">
          <cell r="K2511" t="str">
            <v>LAF5022MXM</v>
          </cell>
          <cell r="L2511" t="str">
            <v>HD</v>
          </cell>
          <cell r="M2511" t="str">
            <v>x</v>
          </cell>
          <cell r="N2511" t="e">
            <v>#N/A</v>
          </cell>
          <cell r="O2511" t="str">
            <v>Nano Tech Radial Seal Air Filter</v>
          </cell>
        </row>
        <row r="2512">
          <cell r="K2512" t="str">
            <v>LAF4509MXM</v>
          </cell>
          <cell r="L2512" t="str">
            <v>HD</v>
          </cell>
          <cell r="M2512" t="str">
            <v>x</v>
          </cell>
          <cell r="N2512" t="e">
            <v>#N/A</v>
          </cell>
          <cell r="O2512" t="str">
            <v>Nano Tech Radial Seal Air Filter</v>
          </cell>
        </row>
        <row r="2513">
          <cell r="K2513" t="str">
            <v>LAF8149MXM</v>
          </cell>
          <cell r="L2513" t="str">
            <v>HD</v>
          </cell>
          <cell r="M2513" t="str">
            <v>x</v>
          </cell>
          <cell r="N2513" t="e">
            <v>#N/A</v>
          </cell>
          <cell r="O2513" t="str">
            <v>Nano Tech Radial Seal Air Filter</v>
          </cell>
        </row>
        <row r="2514">
          <cell r="K2514" t="str">
            <v>LAF47MXM</v>
          </cell>
          <cell r="L2514" t="str">
            <v>HD</v>
          </cell>
          <cell r="M2514" t="str">
            <v>x</v>
          </cell>
          <cell r="N2514" t="e">
            <v>#N/A</v>
          </cell>
          <cell r="O2514" t="str">
            <v>Nano Tech Radial Seal Air Filter</v>
          </cell>
        </row>
        <row r="2515">
          <cell r="K2515" t="str">
            <v>LAF3535AMXM</v>
          </cell>
          <cell r="L2515" t="str">
            <v>HD</v>
          </cell>
          <cell r="M2515" t="str">
            <v>x</v>
          </cell>
          <cell r="N2515" t="e">
            <v>#N/A</v>
          </cell>
          <cell r="O2515" t="str">
            <v>Nano Tech Inside-Out Flow Direction Air Filter</v>
          </cell>
        </row>
        <row r="2516">
          <cell r="K2516" t="str">
            <v>LAF3930MXM</v>
          </cell>
          <cell r="L2516" t="str">
            <v>HD</v>
          </cell>
          <cell r="M2516" t="str">
            <v>x</v>
          </cell>
          <cell r="N2516" t="e">
            <v>#N/A</v>
          </cell>
          <cell r="O2516" t="str">
            <v>Nano Tech HD Metal-End Air Filter Outer</v>
          </cell>
        </row>
        <row r="2517">
          <cell r="K2517" t="str">
            <v>LAF4273MXM</v>
          </cell>
          <cell r="L2517" t="str">
            <v>HD</v>
          </cell>
          <cell r="M2517" t="str">
            <v>x</v>
          </cell>
          <cell r="N2517" t="e">
            <v>#N/A</v>
          </cell>
          <cell r="O2517" t="str">
            <v>Nano Tech HD Metal-End Air Filter Outer</v>
          </cell>
        </row>
        <row r="2518">
          <cell r="K2518" t="str">
            <v>LAF334MXM</v>
          </cell>
          <cell r="L2518" t="str">
            <v>HD</v>
          </cell>
          <cell r="M2518" t="str">
            <v>x</v>
          </cell>
          <cell r="N2518" t="e">
            <v>#N/A</v>
          </cell>
          <cell r="O2518" t="str">
            <v xml:space="preserve">Nano Tech HD Metal-End Air Filter </v>
          </cell>
        </row>
        <row r="2519">
          <cell r="K2519" t="str">
            <v>LAF1465MXM</v>
          </cell>
          <cell r="L2519" t="str">
            <v>HD</v>
          </cell>
          <cell r="M2519" t="str">
            <v>x</v>
          </cell>
          <cell r="N2519" t="e">
            <v>#N/A</v>
          </cell>
          <cell r="O2519" t="str">
            <v>Nano Tech HD Metal End Air Filter</v>
          </cell>
        </row>
        <row r="2520">
          <cell r="K2520" t="str">
            <v>LAF6127MXM</v>
          </cell>
          <cell r="L2520" t="str">
            <v>HD</v>
          </cell>
          <cell r="M2520" t="str">
            <v>x</v>
          </cell>
          <cell r="N2520" t="e">
            <v>#N/A</v>
          </cell>
          <cell r="O2520" t="str">
            <v>Nano Tech Air Filter w/Attached boot</v>
          </cell>
        </row>
        <row r="2521">
          <cell r="K2521" t="str">
            <v>LAF5069MXM</v>
          </cell>
          <cell r="L2521" t="str">
            <v>HD</v>
          </cell>
          <cell r="M2521" t="str">
            <v>x</v>
          </cell>
          <cell r="N2521" t="e">
            <v>#N/A</v>
          </cell>
          <cell r="O2521" t="str">
            <v>Nano Tech Air Filter w/Attached boot</v>
          </cell>
        </row>
        <row r="2522">
          <cell r="K2522" t="str">
            <v>LAF6632MXM</v>
          </cell>
          <cell r="L2522" t="str">
            <v>HD</v>
          </cell>
          <cell r="M2522" t="str">
            <v>x</v>
          </cell>
          <cell r="N2522" t="e">
            <v>#N/A</v>
          </cell>
          <cell r="O2522" t="str">
            <v xml:space="preserve">Nano Tech Air Filter HD Metal-End </v>
          </cell>
        </row>
        <row r="2523">
          <cell r="K2523" t="str">
            <v>LAF7413MXM</v>
          </cell>
          <cell r="L2523" t="str">
            <v>HD</v>
          </cell>
          <cell r="M2523" t="str">
            <v>x</v>
          </cell>
          <cell r="N2523" t="e">
            <v>#N/A</v>
          </cell>
          <cell r="O2523" t="str">
            <v xml:space="preserve">Nano Tech Air Filter HD Metal-End </v>
          </cell>
        </row>
        <row r="2524">
          <cell r="K2524" t="str">
            <v>LAF8483MXM</v>
          </cell>
          <cell r="L2524" t="str">
            <v>HD</v>
          </cell>
          <cell r="M2524" t="str">
            <v>x</v>
          </cell>
          <cell r="N2524" t="e">
            <v>#N/A</v>
          </cell>
          <cell r="O2524" t="str">
            <v xml:space="preserve">Nano Tech Air Filter HD Metal-End </v>
          </cell>
        </row>
        <row r="2525">
          <cell r="K2525" t="str">
            <v>MTG</v>
          </cell>
          <cell r="L2525" t="str">
            <v>HD</v>
          </cell>
          <cell r="M2525" t="str">
            <v>x</v>
          </cell>
          <cell r="N2525" t="e">
            <v>#N/A</v>
          </cell>
          <cell r="O2525" t="str">
            <v>Mounting Brkt. Assembly (2 Req.)/500-C, CT, 970-C (1 Brkt., 1 Band), Black/500-C, 750-C, CT</v>
          </cell>
        </row>
        <row r="2526">
          <cell r="K2526" t="str">
            <v>MOUNTING</v>
          </cell>
          <cell r="L2526" t="str">
            <v>HD</v>
          </cell>
          <cell r="M2526" t="str">
            <v>x</v>
          </cell>
          <cell r="N2526" t="e">
            <v>#N/A</v>
          </cell>
          <cell r="O2526" t="str">
            <v>Mounting Bracket Kit--Nuts &amp; Bolts/272C, 363C, 500C, 750C</v>
          </cell>
        </row>
        <row r="2527">
          <cell r="K2527" t="str">
            <v>BKT</v>
          </cell>
          <cell r="L2527" t="str">
            <v>HD</v>
          </cell>
          <cell r="M2527" t="str">
            <v>x</v>
          </cell>
          <cell r="N2527" t="e">
            <v>#N/A</v>
          </cell>
          <cell r="O2527" t="str">
            <v>Mounting Bracket Assembly (2 Req.)/500-C, 750-C, CT, 970-C (1Brkt, 1 Band)</v>
          </cell>
        </row>
        <row r="2528">
          <cell r="K2528" t="str">
            <v>LBR22147</v>
          </cell>
          <cell r="L2528" t="str">
            <v>HD</v>
          </cell>
          <cell r="M2528" t="str">
            <v>x</v>
          </cell>
          <cell r="N2528" t="e">
            <v>#N/A</v>
          </cell>
          <cell r="O2528" t="str">
            <v>Mounting Band</v>
          </cell>
        </row>
        <row r="2529">
          <cell r="K2529" t="str">
            <v>200</v>
          </cell>
          <cell r="L2529" t="str">
            <v>HD</v>
          </cell>
          <cell r="M2529" t="str">
            <v>x</v>
          </cell>
          <cell r="N2529" t="e">
            <v>#N/A</v>
          </cell>
          <cell r="O2529" t="str">
            <v>Microcell w/Rice Hulls/200S</v>
          </cell>
        </row>
        <row r="2530">
          <cell r="K2530" t="str">
            <v>200</v>
          </cell>
          <cell r="L2530" t="str">
            <v>HD</v>
          </cell>
          <cell r="M2530" t="str">
            <v>x</v>
          </cell>
          <cell r="N2530" t="e">
            <v>#N/A</v>
          </cell>
          <cell r="O2530" t="str">
            <v>Microcell w/Rice Hulls/200S</v>
          </cell>
        </row>
        <row r="2531">
          <cell r="K2531" t="str">
            <v>PKGD</v>
          </cell>
          <cell r="L2531" t="str">
            <v>HD</v>
          </cell>
          <cell r="M2531" t="str">
            <v>x</v>
          </cell>
          <cell r="N2531" t="e">
            <v>#N/A</v>
          </cell>
          <cell r="O2531" t="str">
            <v>Microcell Unit w/Floor Base &amp; Filter Pack/750-3C</v>
          </cell>
        </row>
        <row r="2532">
          <cell r="K2532" t="str">
            <v>PKGD</v>
          </cell>
          <cell r="L2532" t="str">
            <v>HD</v>
          </cell>
          <cell r="M2532" t="str">
            <v>x</v>
          </cell>
          <cell r="N2532" t="e">
            <v>#N/A</v>
          </cell>
          <cell r="O2532" t="str">
            <v>Microcell Unit w/Floor Base &amp; Filter Pack/750-2C</v>
          </cell>
        </row>
        <row r="2533">
          <cell r="K2533" t="str">
            <v>272</v>
          </cell>
          <cell r="L2533" t="str">
            <v>HD</v>
          </cell>
          <cell r="M2533" t="str">
            <v>x</v>
          </cell>
          <cell r="N2533" t="e">
            <v>#N/A</v>
          </cell>
          <cell r="O2533" t="str">
            <v>Microcell Hydropack/272C Filter</v>
          </cell>
        </row>
        <row r="2534">
          <cell r="K2534" t="str">
            <v>272</v>
          </cell>
          <cell r="L2534" t="str">
            <v>HD</v>
          </cell>
          <cell r="M2534" t="str">
            <v>x</v>
          </cell>
          <cell r="N2534" t="e">
            <v>#N/A</v>
          </cell>
          <cell r="O2534" t="str">
            <v>Microcell Filter Hydropack/272C Filter</v>
          </cell>
        </row>
        <row r="2535">
          <cell r="K2535" t="str">
            <v>LAF7092</v>
          </cell>
          <cell r="L2535" t="str">
            <v>HD</v>
          </cell>
          <cell r="M2535" t="str">
            <v>x</v>
          </cell>
          <cell r="N2535" t="e">
            <v>#N/A</v>
          </cell>
          <cell r="O2535" t="str">
            <v>Metal-End Air Filter with Closed Top End Cap</v>
          </cell>
        </row>
        <row r="2536">
          <cell r="K2536" t="str">
            <v>LK281MB</v>
          </cell>
          <cell r="L2536" t="str">
            <v>HD</v>
          </cell>
          <cell r="M2536" t="str">
            <v>x</v>
          </cell>
          <cell r="N2536" t="e">
            <v>#N/A</v>
          </cell>
          <cell r="O2536" t="str">
            <v>Mercedes Benz Engine Maintenance Kit</v>
          </cell>
        </row>
        <row r="2537">
          <cell r="K2537" t="str">
            <v>LK323DF</v>
          </cell>
          <cell r="L2537" t="str">
            <v>HD</v>
          </cell>
          <cell r="M2537" t="str">
            <v>x</v>
          </cell>
          <cell r="N2537" t="e">
            <v>#N/A</v>
          </cell>
          <cell r="O2537" t="str">
            <v>Mercedes Benz Engine Maintenance Kit</v>
          </cell>
        </row>
        <row r="2538">
          <cell r="K2538" t="str">
            <v>LK324DF</v>
          </cell>
          <cell r="L2538" t="str">
            <v>HD</v>
          </cell>
          <cell r="M2538" t="str">
            <v>x</v>
          </cell>
          <cell r="N2538" t="e">
            <v>#N/A</v>
          </cell>
          <cell r="O2538" t="str">
            <v>Mercedes Benz Engine Maintenance Kit</v>
          </cell>
        </row>
        <row r="2539">
          <cell r="K2539" t="str">
            <v>LK358DF</v>
          </cell>
          <cell r="L2539" t="str">
            <v>HD</v>
          </cell>
          <cell r="M2539" t="str">
            <v>x</v>
          </cell>
          <cell r="N2539" t="e">
            <v>#N/A</v>
          </cell>
          <cell r="O2539" t="str">
            <v>Mercedes Benz Engine Maintenance Kit</v>
          </cell>
        </row>
        <row r="2540">
          <cell r="K2540" t="str">
            <v>LK346M</v>
          </cell>
          <cell r="L2540" t="str">
            <v>HD</v>
          </cell>
          <cell r="M2540" t="str">
            <v>x</v>
          </cell>
          <cell r="N2540" t="e">
            <v>#N/A</v>
          </cell>
          <cell r="O2540" t="str">
            <v>Mack Engine Maintenance Kit</v>
          </cell>
        </row>
        <row r="2541">
          <cell r="K2541" t="str">
            <v>LK293M</v>
          </cell>
          <cell r="L2541" t="str">
            <v>HD</v>
          </cell>
          <cell r="M2541" t="str">
            <v>x</v>
          </cell>
          <cell r="N2541" t="e">
            <v>#N/A</v>
          </cell>
          <cell r="O2541" t="str">
            <v>Mack Engine Maintenance Kit</v>
          </cell>
        </row>
        <row r="2542">
          <cell r="K2542" t="str">
            <v>LK333DF</v>
          </cell>
          <cell r="L2542" t="str">
            <v>HD</v>
          </cell>
          <cell r="M2542" t="str">
            <v>x</v>
          </cell>
          <cell r="N2542" t="e">
            <v>#N/A</v>
          </cell>
          <cell r="O2542" t="str">
            <v>Mack Engine Maintenance Kit</v>
          </cell>
        </row>
        <row r="2543">
          <cell r="K2543" t="str">
            <v>LK334DF</v>
          </cell>
          <cell r="L2543" t="str">
            <v>HD</v>
          </cell>
          <cell r="M2543" t="str">
            <v>x</v>
          </cell>
          <cell r="N2543" t="e">
            <v>#N/A</v>
          </cell>
          <cell r="O2543" t="str">
            <v>Mack Engine Maintenance Kit</v>
          </cell>
        </row>
        <row r="2544">
          <cell r="K2544" t="str">
            <v>LK332DF</v>
          </cell>
          <cell r="L2544" t="str">
            <v>HD</v>
          </cell>
          <cell r="M2544" t="str">
            <v>x</v>
          </cell>
          <cell r="N2544" t="e">
            <v>#N/A</v>
          </cell>
          <cell r="O2544" t="str">
            <v>Mack Engine Maintenance Kit</v>
          </cell>
        </row>
        <row r="2545">
          <cell r="K2545" t="str">
            <v>LK353M</v>
          </cell>
          <cell r="L2545" t="str">
            <v>HD</v>
          </cell>
          <cell r="M2545" t="str">
            <v>x</v>
          </cell>
          <cell r="N2545" t="e">
            <v>#N/A</v>
          </cell>
          <cell r="O2545" t="str">
            <v>Mack Engine Maintenance Kit</v>
          </cell>
        </row>
        <row r="2546">
          <cell r="K2546" t="str">
            <v>LK2M</v>
          </cell>
          <cell r="L2546" t="str">
            <v>HD</v>
          </cell>
          <cell r="M2546" t="str">
            <v>x</v>
          </cell>
          <cell r="N2546" t="e">
            <v>#N/A</v>
          </cell>
          <cell r="O2546" t="str">
            <v>Mack Engine Maintenance Kit</v>
          </cell>
        </row>
        <row r="2547">
          <cell r="K2547" t="str">
            <v>78</v>
          </cell>
          <cell r="L2547" t="str">
            <v>HD</v>
          </cell>
          <cell r="M2547" t="str">
            <v>x</v>
          </cell>
          <cell r="N2547" t="e">
            <v>#N/A</v>
          </cell>
          <cell r="O2547" t="str">
            <v>Luber-finer model 78 diesel pak detergent type oil filter</v>
          </cell>
        </row>
        <row r="2548">
          <cell r="K2548" t="str">
            <v>155/170</v>
          </cell>
          <cell r="L2548" t="str">
            <v>HD</v>
          </cell>
          <cell r="M2548" t="str">
            <v>x</v>
          </cell>
          <cell r="N2548" t="e">
            <v>#N/A</v>
          </cell>
          <cell r="O2548" t="str">
            <v>Luber-finer F170 diesel fuel filter refining pak</v>
          </cell>
        </row>
        <row r="2549">
          <cell r="K2549">
            <v>120</v>
          </cell>
          <cell r="L2549" t="str">
            <v>HD</v>
          </cell>
          <cell r="M2549" t="str">
            <v>x</v>
          </cell>
          <cell r="N2549" t="e">
            <v>#N/A</v>
          </cell>
          <cell r="O2549" t="str">
            <v>Luber-finer F-120 diesel fuel filter refining pak</v>
          </cell>
        </row>
        <row r="2550">
          <cell r="K2550">
            <v>500</v>
          </cell>
          <cell r="L2550" t="str">
            <v>HD</v>
          </cell>
          <cell r="M2550" t="str">
            <v>x</v>
          </cell>
          <cell r="N2550" t="e">
            <v>#N/A</v>
          </cell>
          <cell r="O2550" t="str">
            <v>Luber-finer 500 Series, Imperial II (single element filter) detergent type lube oil. (4 pack case) Filter</v>
          </cell>
        </row>
        <row r="2551">
          <cell r="K2551">
            <v>970</v>
          </cell>
          <cell r="L2551" t="str">
            <v>HD</v>
          </cell>
          <cell r="M2551" t="str">
            <v>x</v>
          </cell>
          <cell r="N2551" t="e">
            <v>#N/A</v>
          </cell>
          <cell r="O2551" t="str">
            <v>Lower housing Assembly/970-C</v>
          </cell>
        </row>
        <row r="2552">
          <cell r="K2552" t="str">
            <v>750</v>
          </cell>
          <cell r="L2552" t="str">
            <v>HD</v>
          </cell>
          <cell r="M2552" t="str">
            <v>x</v>
          </cell>
          <cell r="N2552" t="e">
            <v>#N/A</v>
          </cell>
          <cell r="O2552" t="str">
            <v>LF750 refining pak-synthetic fluid or solvent filtration</v>
          </cell>
        </row>
        <row r="2553">
          <cell r="K2553" t="str">
            <v>750</v>
          </cell>
          <cell r="L2553" t="str">
            <v>HD</v>
          </cell>
          <cell r="M2553" t="str">
            <v>x</v>
          </cell>
          <cell r="N2553" t="e">
            <v>#N/A</v>
          </cell>
          <cell r="O2553" t="str">
            <v>LF750 refining pak filter for H20 base hydraulic fluids</v>
          </cell>
        </row>
        <row r="2554">
          <cell r="K2554" t="str">
            <v>750</v>
          </cell>
          <cell r="L2554" t="str">
            <v>HD</v>
          </cell>
          <cell r="M2554" t="str">
            <v>x</v>
          </cell>
          <cell r="N2554" t="e">
            <v>#N/A</v>
          </cell>
          <cell r="O2554" t="str">
            <v>LF750 microcell pak-filtration of clear, synthetic fluids or solvents</v>
          </cell>
        </row>
        <row r="2555">
          <cell r="K2555" t="str">
            <v>500</v>
          </cell>
          <cell r="L2555" t="str">
            <v>HD</v>
          </cell>
          <cell r="M2555" t="str">
            <v>x</v>
          </cell>
          <cell r="N2555" t="e">
            <v>#N/A</v>
          </cell>
          <cell r="O2555" t="str">
            <v>LF500 Microcell-Same application as 2764</v>
          </cell>
        </row>
        <row r="2556">
          <cell r="K2556" t="str">
            <v>500</v>
          </cell>
          <cell r="L2556" t="str">
            <v>HD</v>
          </cell>
          <cell r="M2556" t="str">
            <v>x</v>
          </cell>
          <cell r="N2556" t="e">
            <v>#N/A</v>
          </cell>
          <cell r="O2556" t="str">
            <v>LF500 Microcell Same applications as 2763</v>
          </cell>
        </row>
        <row r="2557">
          <cell r="K2557" t="str">
            <v>LDFTK-IQ</v>
          </cell>
          <cell r="L2557" t="str">
            <v>HD</v>
          </cell>
          <cell r="M2557" t="str">
            <v>x</v>
          </cell>
          <cell r="N2557" t="e">
            <v>#N/A</v>
          </cell>
          <cell r="O2557" t="str">
            <v>L-F DIESEL FUEL ANALYSIS KIT</v>
          </cell>
        </row>
        <row r="2558">
          <cell r="K2558" t="str">
            <v>500CT</v>
          </cell>
          <cell r="L2558" t="str">
            <v>HD</v>
          </cell>
          <cell r="M2558" t="str">
            <v>x</v>
          </cell>
          <cell r="N2558" t="e">
            <v>#N/A</v>
          </cell>
          <cell r="O2558" t="str">
            <v>Inverted Diesel Unit w/Imperial Filter Pack/500-C</v>
          </cell>
        </row>
        <row r="2559">
          <cell r="K2559" t="str">
            <v>750CT</v>
          </cell>
          <cell r="L2559" t="str">
            <v>HD</v>
          </cell>
          <cell r="M2559" t="str">
            <v>x</v>
          </cell>
          <cell r="N2559" t="e">
            <v>#N/A</v>
          </cell>
          <cell r="O2559" t="str">
            <v>INVERTED 750C</v>
          </cell>
        </row>
        <row r="2560">
          <cell r="K2560" t="str">
            <v>LK309DF</v>
          </cell>
          <cell r="L2560" t="str">
            <v>HD</v>
          </cell>
          <cell r="M2560" t="str">
            <v>x</v>
          </cell>
          <cell r="N2560" t="e">
            <v>#N/A</v>
          </cell>
          <cell r="O2560" t="str">
            <v>International Engine Maintenance Kit</v>
          </cell>
        </row>
        <row r="2561">
          <cell r="K2561" t="str">
            <v>LK308DF</v>
          </cell>
          <cell r="L2561" t="str">
            <v>HD</v>
          </cell>
          <cell r="M2561" t="str">
            <v>x</v>
          </cell>
          <cell r="N2561" t="e">
            <v>#N/A</v>
          </cell>
          <cell r="O2561" t="str">
            <v>International Engine Maintenance Kit</v>
          </cell>
        </row>
        <row r="2562">
          <cell r="K2562" t="str">
            <v>LK248I</v>
          </cell>
          <cell r="L2562" t="str">
            <v>HD</v>
          </cell>
          <cell r="M2562" t="str">
            <v>x</v>
          </cell>
          <cell r="N2562" t="e">
            <v>#N/A</v>
          </cell>
          <cell r="O2562" t="str">
            <v>International Engine Maintenance Kit</v>
          </cell>
        </row>
        <row r="2563">
          <cell r="K2563" t="str">
            <v>LK359DF</v>
          </cell>
          <cell r="L2563" t="str">
            <v>HD</v>
          </cell>
          <cell r="M2563" t="str">
            <v>x</v>
          </cell>
          <cell r="N2563" t="e">
            <v>#N/A</v>
          </cell>
          <cell r="O2563" t="str">
            <v>International Engine Maintenance Kit</v>
          </cell>
        </row>
        <row r="2564">
          <cell r="K2564" t="str">
            <v>LK318DF</v>
          </cell>
          <cell r="L2564" t="str">
            <v>HD</v>
          </cell>
          <cell r="M2564" t="str">
            <v>x</v>
          </cell>
          <cell r="N2564" t="e">
            <v>#N/A</v>
          </cell>
          <cell r="O2564" t="str">
            <v>International Engine Maintenance Kit</v>
          </cell>
        </row>
        <row r="2565">
          <cell r="K2565" t="str">
            <v>LK224I</v>
          </cell>
          <cell r="L2565" t="str">
            <v>HD</v>
          </cell>
          <cell r="M2565" t="str">
            <v>x</v>
          </cell>
          <cell r="N2565" t="e">
            <v>#N/A</v>
          </cell>
          <cell r="O2565" t="str">
            <v>International Engine Maintenance Kit</v>
          </cell>
        </row>
        <row r="2566">
          <cell r="K2566" t="str">
            <v>LK229I</v>
          </cell>
          <cell r="L2566" t="str">
            <v>HD</v>
          </cell>
          <cell r="M2566" t="str">
            <v>x</v>
          </cell>
          <cell r="N2566" t="e">
            <v>#N/A</v>
          </cell>
          <cell r="O2566" t="str">
            <v>International Engine Maintenance Kit</v>
          </cell>
        </row>
        <row r="2567">
          <cell r="K2567" t="str">
            <v>LK207I</v>
          </cell>
          <cell r="L2567" t="str">
            <v>HD</v>
          </cell>
          <cell r="M2567" t="str">
            <v>x</v>
          </cell>
          <cell r="N2567" t="e">
            <v>#N/A</v>
          </cell>
          <cell r="O2567" t="str">
            <v>International Engine Maintenance Kit</v>
          </cell>
        </row>
        <row r="2568">
          <cell r="K2568" t="str">
            <v>LK330DF</v>
          </cell>
          <cell r="L2568" t="str">
            <v>HD</v>
          </cell>
          <cell r="M2568" t="str">
            <v>x</v>
          </cell>
          <cell r="N2568" t="e">
            <v>#N/A</v>
          </cell>
          <cell r="O2568" t="str">
            <v>International Engine Maintenance Kit</v>
          </cell>
        </row>
        <row r="2569">
          <cell r="K2569" t="str">
            <v>LK206I</v>
          </cell>
          <cell r="L2569" t="str">
            <v>HD</v>
          </cell>
          <cell r="M2569" t="str">
            <v>x</v>
          </cell>
          <cell r="N2569" t="e">
            <v>#N/A</v>
          </cell>
          <cell r="O2569" t="str">
            <v>International Engine Maintenance Kit</v>
          </cell>
        </row>
        <row r="2570">
          <cell r="K2570" t="str">
            <v>LK355DF</v>
          </cell>
          <cell r="L2570" t="str">
            <v>HD</v>
          </cell>
          <cell r="M2570" t="str">
            <v>x</v>
          </cell>
          <cell r="N2570" t="e">
            <v>#N/A</v>
          </cell>
          <cell r="O2570" t="str">
            <v>International Engine Maintenance Kit</v>
          </cell>
        </row>
        <row r="2571">
          <cell r="K2571" t="str">
            <v>LK219I</v>
          </cell>
          <cell r="L2571" t="str">
            <v>HD</v>
          </cell>
          <cell r="M2571" t="str">
            <v>x</v>
          </cell>
          <cell r="N2571" t="e">
            <v>#N/A</v>
          </cell>
          <cell r="O2571" t="str">
            <v>International Engine Maintenance Kit</v>
          </cell>
        </row>
        <row r="2572">
          <cell r="K2572" t="str">
            <v>LK331DF</v>
          </cell>
          <cell r="L2572" t="str">
            <v>HD</v>
          </cell>
          <cell r="M2572" t="str">
            <v>x</v>
          </cell>
          <cell r="N2572" t="e">
            <v>#N/A</v>
          </cell>
          <cell r="O2572" t="str">
            <v>International Engine Maintenance Kit</v>
          </cell>
        </row>
        <row r="2573">
          <cell r="K2573" t="str">
            <v>LK360DF</v>
          </cell>
          <cell r="L2573" t="str">
            <v>HD</v>
          </cell>
          <cell r="M2573" t="str">
            <v>x</v>
          </cell>
          <cell r="N2573" t="e">
            <v>#N/A</v>
          </cell>
          <cell r="O2573" t="str">
            <v>International Engine Maintenance Kit</v>
          </cell>
        </row>
        <row r="2574">
          <cell r="K2574" t="str">
            <v>LK204I</v>
          </cell>
          <cell r="L2574" t="str">
            <v>HD</v>
          </cell>
          <cell r="M2574" t="str">
            <v>x</v>
          </cell>
          <cell r="N2574" t="e">
            <v>#N/A</v>
          </cell>
          <cell r="O2574" t="str">
            <v>International Engine Maintenance Kit</v>
          </cell>
        </row>
        <row r="2575">
          <cell r="K2575" t="str">
            <v>LK186I</v>
          </cell>
          <cell r="L2575" t="str">
            <v>HD</v>
          </cell>
          <cell r="M2575" t="str">
            <v>x</v>
          </cell>
          <cell r="N2575" t="e">
            <v>#N/A</v>
          </cell>
          <cell r="O2575" t="str">
            <v>International Engine Maintenance Kit</v>
          </cell>
        </row>
        <row r="2576">
          <cell r="K2576" t="str">
            <v>LK249I</v>
          </cell>
          <cell r="L2576" t="str">
            <v>HD</v>
          </cell>
          <cell r="M2576" t="str">
            <v>x</v>
          </cell>
          <cell r="N2576" t="e">
            <v>#N/A</v>
          </cell>
          <cell r="O2576" t="str">
            <v>International Engine Maintenance Kit</v>
          </cell>
        </row>
        <row r="2577">
          <cell r="K2577" t="str">
            <v>LK302DF</v>
          </cell>
          <cell r="L2577" t="str">
            <v>HD</v>
          </cell>
          <cell r="M2577" t="str">
            <v>x</v>
          </cell>
          <cell r="N2577" t="e">
            <v>#N/A</v>
          </cell>
          <cell r="O2577" t="str">
            <v>International Engine Maintenance Kit</v>
          </cell>
        </row>
        <row r="2578">
          <cell r="K2578" t="str">
            <v>LFF3944</v>
          </cell>
          <cell r="L2578" t="str">
            <v>HD</v>
          </cell>
          <cell r="M2578" t="str">
            <v>x</v>
          </cell>
          <cell r="N2578" t="e">
            <v>#N/A</v>
          </cell>
          <cell r="O2578" t="str">
            <v>In-Line Fuel Filter</v>
          </cell>
        </row>
        <row r="2579">
          <cell r="K2579" t="str">
            <v>FP886</v>
          </cell>
          <cell r="L2579" t="str">
            <v>HD</v>
          </cell>
          <cell r="M2579" t="str">
            <v>x</v>
          </cell>
          <cell r="N2579" t="e">
            <v>#N/A</v>
          </cell>
          <cell r="O2579" t="str">
            <v>In-Line Fuel Filter</v>
          </cell>
        </row>
        <row r="2580">
          <cell r="K2580" t="str">
            <v>LFF7686</v>
          </cell>
          <cell r="L2580" t="str">
            <v>HD</v>
          </cell>
          <cell r="M2580" t="str">
            <v>x</v>
          </cell>
          <cell r="N2580" t="e">
            <v>#N/A</v>
          </cell>
          <cell r="O2580" t="str">
            <v>In-Line Fuel Filter</v>
          </cell>
        </row>
        <row r="2581">
          <cell r="K2581" t="str">
            <v>SPRING</v>
          </cell>
          <cell r="L2581" t="str">
            <v>HD</v>
          </cell>
          <cell r="M2581" t="str">
            <v>x</v>
          </cell>
          <cell r="N2581" t="e">
            <v>#N/A</v>
          </cell>
          <cell r="O2581" t="str">
            <v>Inlet Valve Spring/500-B, C, 750-B, C</v>
          </cell>
        </row>
        <row r="2582">
          <cell r="K2582" t="str">
            <v>INLET</v>
          </cell>
          <cell r="L2582" t="str">
            <v>HD</v>
          </cell>
          <cell r="M2582" t="str">
            <v>x</v>
          </cell>
          <cell r="N2582" t="e">
            <v>#N/A</v>
          </cell>
          <cell r="O2582" t="str">
            <v>INLET VALVE ASSY</v>
          </cell>
        </row>
        <row r="2583">
          <cell r="K2583" t="str">
            <v>INLET</v>
          </cell>
          <cell r="L2583" t="str">
            <v>HD</v>
          </cell>
          <cell r="M2583" t="str">
            <v>x</v>
          </cell>
          <cell r="N2583" t="e">
            <v>#N/A</v>
          </cell>
          <cell r="O2583" t="str">
            <v>Inlet Valve &amp; Spring/750-2, 2C, 3, 3C</v>
          </cell>
        </row>
        <row r="2584">
          <cell r="K2584">
            <v>18866</v>
          </cell>
          <cell r="L2584" t="str">
            <v>HD</v>
          </cell>
          <cell r="M2584" t="str">
            <v>x</v>
          </cell>
          <cell r="N2584" t="e">
            <v>#N/A</v>
          </cell>
          <cell r="O2584" t="str">
            <v>Inlet Check-Valve Assembly Complete (Opt.#6 Orifice)/500-C, CT, 750-C, CT</v>
          </cell>
        </row>
        <row r="2585">
          <cell r="K2585">
            <v>18865</v>
          </cell>
          <cell r="L2585" t="str">
            <v>HD</v>
          </cell>
          <cell r="M2585" t="str">
            <v>x</v>
          </cell>
          <cell r="N2585" t="e">
            <v>#N/A</v>
          </cell>
          <cell r="O2585" t="str">
            <v>Inlet Check-Valve Assembly Complete (Opt.#5 Orifice)/500-C, CT, 750-C, CT</v>
          </cell>
        </row>
        <row r="2586">
          <cell r="K2586" t="str">
            <v>INLET</v>
          </cell>
          <cell r="L2586" t="str">
            <v>HD</v>
          </cell>
          <cell r="M2586" t="str">
            <v>x</v>
          </cell>
          <cell r="N2586" t="e">
            <v>#N/A</v>
          </cell>
          <cell r="O2586" t="str">
            <v>Inlet Check Valve Assembly/363-C</v>
          </cell>
        </row>
        <row r="2587">
          <cell r="K2587" t="str">
            <v>970C</v>
          </cell>
          <cell r="L2587" t="str">
            <v>HD</v>
          </cell>
          <cell r="M2587" t="str">
            <v>x</v>
          </cell>
          <cell r="N2587" t="e">
            <v>#N/A</v>
          </cell>
          <cell r="O2587" t="str">
            <v>Industrial Full-flow Unit w/LP970-25 Element/970-C Filter</v>
          </cell>
        </row>
        <row r="2588">
          <cell r="K2588" t="str">
            <v>LH6861V</v>
          </cell>
          <cell r="L2588" t="str">
            <v>HD</v>
          </cell>
          <cell r="M2588" t="str">
            <v>x</v>
          </cell>
          <cell r="N2588" t="e">
            <v>#N/A</v>
          </cell>
          <cell r="O2588" t="str">
            <v>Industrial Cartridge Hydraulic Filter</v>
          </cell>
        </row>
        <row r="2589">
          <cell r="K2589" t="str">
            <v>LH22063</v>
          </cell>
          <cell r="L2589" t="str">
            <v>HD</v>
          </cell>
          <cell r="M2589" t="str">
            <v>x</v>
          </cell>
          <cell r="N2589" t="e">
            <v>#N/A</v>
          </cell>
          <cell r="O2589" t="str">
            <v>Industrial Cartridge Hydraulic Filter</v>
          </cell>
        </row>
        <row r="2590">
          <cell r="K2590" t="str">
            <v>LH11018V</v>
          </cell>
          <cell r="L2590" t="str">
            <v>HD</v>
          </cell>
          <cell r="M2590" t="str">
            <v>x</v>
          </cell>
          <cell r="N2590" t="e">
            <v>#N/A</v>
          </cell>
          <cell r="O2590" t="str">
            <v>Industrial Cartridge Hydraulic Filter</v>
          </cell>
        </row>
        <row r="2591">
          <cell r="K2591" t="str">
            <v>LH9558</v>
          </cell>
          <cell r="L2591" t="str">
            <v>HD</v>
          </cell>
          <cell r="M2591" t="str">
            <v>x</v>
          </cell>
          <cell r="N2591" t="e">
            <v>#N/A</v>
          </cell>
          <cell r="O2591" t="str">
            <v>Industrial Cartridge Hydraulic Filter</v>
          </cell>
        </row>
        <row r="2592">
          <cell r="K2592" t="str">
            <v>LH11027</v>
          </cell>
          <cell r="L2592" t="str">
            <v>HD</v>
          </cell>
          <cell r="M2592" t="str">
            <v>x</v>
          </cell>
          <cell r="N2592" t="e">
            <v>#N/A</v>
          </cell>
          <cell r="O2592" t="str">
            <v>Industrial Cartridge Hydraulic Filter</v>
          </cell>
        </row>
        <row r="2593">
          <cell r="K2593" t="str">
            <v>LH11040V</v>
          </cell>
          <cell r="L2593" t="str">
            <v>HD</v>
          </cell>
          <cell r="M2593" t="str">
            <v>x</v>
          </cell>
          <cell r="N2593" t="e">
            <v>#N/A</v>
          </cell>
          <cell r="O2593" t="str">
            <v>Industrial Cartridge Hydraulic Filter</v>
          </cell>
        </row>
        <row r="2594">
          <cell r="K2594" t="str">
            <v>LH11035</v>
          </cell>
          <cell r="L2594" t="str">
            <v>HD</v>
          </cell>
          <cell r="M2594" t="str">
            <v>x</v>
          </cell>
          <cell r="N2594" t="e">
            <v>#N/A</v>
          </cell>
          <cell r="O2594" t="str">
            <v>Industrial Cartridge Hydraulic Filter</v>
          </cell>
        </row>
        <row r="2595">
          <cell r="K2595" t="str">
            <v>LH11044V</v>
          </cell>
          <cell r="L2595" t="str">
            <v>HD</v>
          </cell>
          <cell r="M2595" t="str">
            <v>x</v>
          </cell>
          <cell r="N2595" t="e">
            <v>#N/A</v>
          </cell>
          <cell r="O2595" t="str">
            <v>Industrial Cartridge Hydraulic Filter</v>
          </cell>
        </row>
        <row r="2596">
          <cell r="K2596" t="str">
            <v>LH11025</v>
          </cell>
          <cell r="L2596" t="str">
            <v>HD</v>
          </cell>
          <cell r="M2596" t="str">
            <v>x</v>
          </cell>
          <cell r="N2596" t="e">
            <v>#N/A</v>
          </cell>
          <cell r="O2596" t="str">
            <v>Industrial Cartridge Hydraulic Filter</v>
          </cell>
        </row>
        <row r="2597">
          <cell r="K2597" t="str">
            <v>LH11019V</v>
          </cell>
          <cell r="L2597" t="str">
            <v>HD</v>
          </cell>
          <cell r="M2597" t="str">
            <v>x</v>
          </cell>
          <cell r="N2597" t="e">
            <v>#N/A</v>
          </cell>
          <cell r="O2597" t="str">
            <v>Industrial Cartridge Hydraulic Filter</v>
          </cell>
        </row>
        <row r="2598">
          <cell r="K2598" t="str">
            <v>LH11037V</v>
          </cell>
          <cell r="L2598" t="str">
            <v>HD</v>
          </cell>
          <cell r="M2598" t="str">
            <v>x</v>
          </cell>
          <cell r="N2598" t="e">
            <v>#N/A</v>
          </cell>
          <cell r="O2598" t="str">
            <v>Industrial Cartridge Hydraulic Filter</v>
          </cell>
        </row>
        <row r="2599">
          <cell r="K2599" t="str">
            <v>LH11032V</v>
          </cell>
          <cell r="L2599" t="str">
            <v>HD</v>
          </cell>
          <cell r="M2599" t="str">
            <v>x</v>
          </cell>
          <cell r="N2599" t="e">
            <v>#N/A</v>
          </cell>
          <cell r="O2599" t="str">
            <v>Industrial Cartridge Hydraulic Filter</v>
          </cell>
        </row>
        <row r="2600">
          <cell r="K2600" t="str">
            <v>LH11013V</v>
          </cell>
          <cell r="L2600" t="str">
            <v>HD</v>
          </cell>
          <cell r="M2600" t="str">
            <v>x</v>
          </cell>
          <cell r="N2600" t="e">
            <v>#N/A</v>
          </cell>
          <cell r="O2600" t="str">
            <v>Industrial Cartridge Hydraulic Filter</v>
          </cell>
        </row>
        <row r="2601">
          <cell r="K2601" t="str">
            <v>LH11043V</v>
          </cell>
          <cell r="L2601" t="str">
            <v>HD</v>
          </cell>
          <cell r="M2601" t="str">
            <v>x</v>
          </cell>
          <cell r="N2601" t="e">
            <v>#N/A</v>
          </cell>
          <cell r="O2601" t="str">
            <v>Industrial Cartridge Hydraulic Filter</v>
          </cell>
        </row>
        <row r="2602">
          <cell r="K2602" t="str">
            <v>LH11003V</v>
          </cell>
          <cell r="L2602" t="str">
            <v>HD</v>
          </cell>
          <cell r="M2602" t="str">
            <v>x</v>
          </cell>
          <cell r="N2602" t="e">
            <v>#N/A</v>
          </cell>
          <cell r="O2602" t="str">
            <v>Industrial Cartridge Hydraulic Filter</v>
          </cell>
        </row>
        <row r="2603">
          <cell r="K2603" t="str">
            <v>LH11002V</v>
          </cell>
          <cell r="L2603" t="str">
            <v>HD</v>
          </cell>
          <cell r="M2603" t="str">
            <v>x</v>
          </cell>
          <cell r="N2603" t="e">
            <v>#N/A</v>
          </cell>
          <cell r="O2603" t="str">
            <v>Industrial Cartridge Hydraulic Filter</v>
          </cell>
        </row>
        <row r="2604">
          <cell r="K2604" t="str">
            <v>LH11038V</v>
          </cell>
          <cell r="L2604" t="str">
            <v>HD</v>
          </cell>
          <cell r="M2604" t="str">
            <v>x</v>
          </cell>
          <cell r="N2604" t="e">
            <v>#N/A</v>
          </cell>
          <cell r="O2604" t="str">
            <v>Industrial Cartridge Hydraulic Filter</v>
          </cell>
        </row>
        <row r="2605">
          <cell r="K2605" t="str">
            <v>LH11004</v>
          </cell>
          <cell r="L2605" t="str">
            <v>HD</v>
          </cell>
          <cell r="M2605" t="str">
            <v>x</v>
          </cell>
          <cell r="N2605" t="e">
            <v>#N/A</v>
          </cell>
          <cell r="O2605" t="str">
            <v>Industrial Cartridge Hydraulic Filter</v>
          </cell>
        </row>
        <row r="2606">
          <cell r="K2606" t="str">
            <v>LH11015V</v>
          </cell>
          <cell r="L2606" t="str">
            <v>HD</v>
          </cell>
          <cell r="M2606" t="str">
            <v>x</v>
          </cell>
          <cell r="N2606" t="e">
            <v>#N/A</v>
          </cell>
          <cell r="O2606" t="str">
            <v>Industrial Cartridge Hydraulic Filter</v>
          </cell>
        </row>
        <row r="2607">
          <cell r="K2607" t="str">
            <v>LH7042V</v>
          </cell>
          <cell r="L2607" t="str">
            <v>HD</v>
          </cell>
          <cell r="M2607" t="str">
            <v>x</v>
          </cell>
          <cell r="N2607" t="e">
            <v>#N/A</v>
          </cell>
          <cell r="O2607" t="str">
            <v>Industrial Cartridge Hydraulic Filter</v>
          </cell>
        </row>
        <row r="2608">
          <cell r="K2608" t="str">
            <v>LH11026</v>
          </cell>
          <cell r="L2608" t="str">
            <v>HD</v>
          </cell>
          <cell r="M2608" t="str">
            <v>x</v>
          </cell>
          <cell r="N2608" t="e">
            <v>#N/A</v>
          </cell>
          <cell r="O2608" t="str">
            <v>Industrial Cartridge Hydraulic Filter</v>
          </cell>
        </row>
        <row r="2609">
          <cell r="K2609" t="str">
            <v>LH11031V</v>
          </cell>
          <cell r="L2609" t="str">
            <v>HD</v>
          </cell>
          <cell r="M2609" t="str">
            <v>x</v>
          </cell>
          <cell r="N2609" t="e">
            <v>#N/A</v>
          </cell>
          <cell r="O2609" t="str">
            <v>Industrial Cartridge Hydraulic Filter</v>
          </cell>
        </row>
        <row r="2610">
          <cell r="K2610" t="str">
            <v>LH11016V</v>
          </cell>
          <cell r="L2610" t="str">
            <v>HD</v>
          </cell>
          <cell r="M2610" t="str">
            <v>x</v>
          </cell>
          <cell r="N2610" t="e">
            <v>#N/A</v>
          </cell>
          <cell r="O2610" t="str">
            <v>Industrial Cartridge Hydraulic Filter</v>
          </cell>
        </row>
        <row r="2611">
          <cell r="K2611" t="str">
            <v>LH11036V</v>
          </cell>
          <cell r="L2611" t="str">
            <v>HD</v>
          </cell>
          <cell r="M2611" t="str">
            <v>x</v>
          </cell>
          <cell r="N2611" t="e">
            <v>#N/A</v>
          </cell>
          <cell r="O2611" t="str">
            <v>Industrial Cartridge Hydraulic Filter</v>
          </cell>
        </row>
        <row r="2612">
          <cell r="K2612" t="str">
            <v>LH6649V</v>
          </cell>
          <cell r="L2612" t="str">
            <v>HD</v>
          </cell>
          <cell r="M2612" t="str">
            <v>x</v>
          </cell>
          <cell r="N2612" t="e">
            <v>#N/A</v>
          </cell>
          <cell r="O2612" t="str">
            <v>Industrial Cartridge Hydraulic Filter</v>
          </cell>
        </row>
        <row r="2613">
          <cell r="K2613" t="str">
            <v>LH11020V</v>
          </cell>
          <cell r="L2613" t="str">
            <v>HD</v>
          </cell>
          <cell r="M2613" t="str">
            <v>x</v>
          </cell>
          <cell r="N2613" t="e">
            <v>#N/A</v>
          </cell>
          <cell r="O2613" t="str">
            <v>Industrial Cartridge Hydraulic Filter</v>
          </cell>
        </row>
        <row r="2614">
          <cell r="K2614" t="str">
            <v>LH11029</v>
          </cell>
          <cell r="L2614" t="str">
            <v>HD</v>
          </cell>
          <cell r="M2614" t="str">
            <v>x</v>
          </cell>
          <cell r="N2614" t="e">
            <v>#N/A</v>
          </cell>
          <cell r="O2614" t="str">
            <v>Industrial Cartridge Hydraulic Filter</v>
          </cell>
        </row>
        <row r="2615">
          <cell r="K2615" t="str">
            <v>LH11039V</v>
          </cell>
          <cell r="L2615" t="str">
            <v>HD</v>
          </cell>
          <cell r="M2615" t="str">
            <v>x</v>
          </cell>
          <cell r="N2615" t="e">
            <v>#N/A</v>
          </cell>
          <cell r="O2615" t="str">
            <v>Industrial Cartridge Hydraulic Filter</v>
          </cell>
        </row>
        <row r="2616">
          <cell r="K2616" t="str">
            <v>750</v>
          </cell>
          <cell r="L2616" t="str">
            <v>HD</v>
          </cell>
          <cell r="M2616" t="str">
            <v>x</v>
          </cell>
          <cell r="N2616" t="e">
            <v>#N/A</v>
          </cell>
          <cell r="O2616" t="str">
            <v>HYDROPACK 100 Filter</v>
          </cell>
        </row>
        <row r="2617">
          <cell r="K2617" t="str">
            <v>750CT</v>
          </cell>
          <cell r="L2617" t="str">
            <v>HD</v>
          </cell>
          <cell r="M2617" t="str">
            <v>x</v>
          </cell>
          <cell r="N2617" t="e">
            <v>#N/A</v>
          </cell>
          <cell r="O2617" t="str">
            <v>HRZNTAL 750CT</v>
          </cell>
        </row>
        <row r="2618">
          <cell r="K2618" t="str">
            <v>HSG</v>
          </cell>
          <cell r="L2618" t="str">
            <v>HD</v>
          </cell>
          <cell r="M2618" t="str">
            <v>x</v>
          </cell>
          <cell r="N2618" t="e">
            <v>#N/A</v>
          </cell>
          <cell r="O2618" t="str">
            <v>Housing w/Retaining Ring Only, Black/500-C</v>
          </cell>
        </row>
        <row r="2619">
          <cell r="K2619" t="str">
            <v>HSG.</v>
          </cell>
          <cell r="L2619" t="str">
            <v>HD</v>
          </cell>
          <cell r="M2619" t="str">
            <v>x</v>
          </cell>
          <cell r="N2619" t="e">
            <v>#N/A</v>
          </cell>
          <cell r="O2619" t="str">
            <v>Housing w/Retaining Ring Only, 363C</v>
          </cell>
        </row>
        <row r="2620">
          <cell r="K2620" t="str">
            <v>F170W</v>
          </cell>
          <cell r="L2620" t="str">
            <v>HD</v>
          </cell>
          <cell r="M2620" t="str">
            <v>x</v>
          </cell>
          <cell r="N2620" t="e">
            <v>#N/A</v>
          </cell>
          <cell r="O2620" t="str">
            <v>Housing Only/F-170-W</v>
          </cell>
        </row>
        <row r="2621">
          <cell r="K2621" t="str">
            <v>HOUSING</v>
          </cell>
          <cell r="L2621" t="str">
            <v>HD</v>
          </cell>
          <cell r="M2621" t="str">
            <v>x</v>
          </cell>
          <cell r="N2621" t="e">
            <v>#N/A</v>
          </cell>
          <cell r="O2621" t="str">
            <v>Housing Only/F-170, F-170-2</v>
          </cell>
        </row>
        <row r="2622">
          <cell r="K2622" t="str">
            <v>F170W</v>
          </cell>
          <cell r="L2622" t="str">
            <v>HD</v>
          </cell>
          <cell r="M2622" t="str">
            <v>x</v>
          </cell>
          <cell r="N2622" t="e">
            <v>#N/A</v>
          </cell>
          <cell r="O2622" t="str">
            <v>Housing Assembly/F-170-W</v>
          </cell>
        </row>
        <row r="2623">
          <cell r="K2623" t="str">
            <v>PTD</v>
          </cell>
          <cell r="L2623" t="str">
            <v>HD</v>
          </cell>
          <cell r="M2623" t="str">
            <v>x</v>
          </cell>
          <cell r="N2623" t="e">
            <v>#N/A</v>
          </cell>
          <cell r="O2623" t="str">
            <v>Housing Assembly/F-170, F-170-2</v>
          </cell>
        </row>
        <row r="2624">
          <cell r="K2624" t="str">
            <v>750-3C</v>
          </cell>
          <cell r="L2624" t="str">
            <v>HD</v>
          </cell>
          <cell r="M2624" t="str">
            <v>x</v>
          </cell>
          <cell r="N2624" t="e">
            <v>#N/A</v>
          </cell>
          <cell r="O2624" t="str">
            <v>Housing Assembly w/Retaining Ring, 750-3C</v>
          </cell>
        </row>
        <row r="2625">
          <cell r="K2625" t="str">
            <v>750-2C</v>
          </cell>
          <cell r="L2625" t="str">
            <v>HD</v>
          </cell>
          <cell r="M2625" t="str">
            <v>x</v>
          </cell>
          <cell r="N2625" t="e">
            <v>#N/A</v>
          </cell>
          <cell r="O2625" t="str">
            <v>Housing Assembly w/retaining ring, 750-2C</v>
          </cell>
        </row>
        <row r="2626">
          <cell r="K2626" t="str">
            <v>HOLLOW</v>
          </cell>
          <cell r="L2626" t="str">
            <v>HD</v>
          </cell>
          <cell r="M2626" t="str">
            <v>x</v>
          </cell>
          <cell r="N2626" t="e">
            <v>#N/A</v>
          </cell>
          <cell r="O2626" t="str">
            <v>Hollow Bolt, Inlet/500-B &amp; C, 750-B &amp; C</v>
          </cell>
        </row>
        <row r="2627">
          <cell r="K2627" t="str">
            <v>SPRING</v>
          </cell>
          <cell r="L2627" t="str">
            <v>HD</v>
          </cell>
          <cell r="M2627" t="str">
            <v>x</v>
          </cell>
          <cell r="N2627" t="e">
            <v>#N/A</v>
          </cell>
          <cell r="O2627" t="str">
            <v>Hole Down Spring/750-2, 2C, 3, 3C, F-120, F-155</v>
          </cell>
        </row>
        <row r="2628">
          <cell r="K2628" t="str">
            <v>WASHER</v>
          </cell>
          <cell r="L2628" t="str">
            <v>HD</v>
          </cell>
          <cell r="M2628" t="str">
            <v>x</v>
          </cell>
          <cell r="N2628" t="e">
            <v>#N/A</v>
          </cell>
          <cell r="O2628" t="str">
            <v>Hold Down Washer, Steel/500-C, 750-C, CT</v>
          </cell>
        </row>
        <row r="2629">
          <cell r="K2629" t="str">
            <v>PACK</v>
          </cell>
          <cell r="L2629" t="str">
            <v>HD</v>
          </cell>
          <cell r="M2629" t="str">
            <v>x</v>
          </cell>
          <cell r="N2629" t="e">
            <v>#N/A</v>
          </cell>
          <cell r="O2629" t="str">
            <v>Hold Down Washer, Steel/500-B, 750-B, 2, 2C, 3, 3C</v>
          </cell>
        </row>
        <row r="2630">
          <cell r="K2630" t="str">
            <v>WASHER</v>
          </cell>
          <cell r="L2630" t="str">
            <v>HD</v>
          </cell>
          <cell r="M2630" t="str">
            <v>x</v>
          </cell>
          <cell r="N2630" t="e">
            <v>#N/A</v>
          </cell>
          <cell r="O2630" t="str">
            <v>Hold Down Washer, Buna-N/500-C, 750-C, CT</v>
          </cell>
        </row>
        <row r="2631">
          <cell r="K2631" t="str">
            <v>WASHER</v>
          </cell>
          <cell r="L2631" t="str">
            <v>HD</v>
          </cell>
          <cell r="M2631" t="str">
            <v>x</v>
          </cell>
          <cell r="N2631" t="e">
            <v>#N/A</v>
          </cell>
          <cell r="O2631" t="str">
            <v>Hold Down Washer, Buna-N/500-B, 750-B, 2, 2C, 3, 3C, F-120, F-135, F-170</v>
          </cell>
        </row>
        <row r="2632">
          <cell r="K2632" t="str">
            <v>STUD</v>
          </cell>
          <cell r="L2632" t="str">
            <v>HD</v>
          </cell>
          <cell r="M2632" t="str">
            <v>x</v>
          </cell>
          <cell r="N2632" t="e">
            <v>#N/A</v>
          </cell>
          <cell r="O2632" t="str">
            <v>Hold Down Stud w/o Bleeder for 2258/500C, 750-C</v>
          </cell>
        </row>
        <row r="2633">
          <cell r="K2633" t="str">
            <v>SPRING</v>
          </cell>
          <cell r="L2633" t="str">
            <v>HD</v>
          </cell>
          <cell r="M2633" t="str">
            <v>x</v>
          </cell>
          <cell r="N2633" t="e">
            <v>#N/A</v>
          </cell>
          <cell r="O2633" t="str">
            <v>Hold Down Spring/500-C, 750-C, CT</v>
          </cell>
        </row>
        <row r="2634">
          <cell r="K2634" t="str">
            <v>HOLD</v>
          </cell>
          <cell r="L2634" t="str">
            <v>HD</v>
          </cell>
          <cell r="M2634" t="str">
            <v>x</v>
          </cell>
          <cell r="N2634" t="e">
            <v>#N/A</v>
          </cell>
          <cell r="O2634" t="str">
            <v>Hold Down Plate/970-C</v>
          </cell>
        </row>
        <row r="2635">
          <cell r="K2635" t="str">
            <v>HOLD</v>
          </cell>
          <cell r="L2635" t="str">
            <v>HD</v>
          </cell>
          <cell r="M2635" t="str">
            <v>x</v>
          </cell>
          <cell r="N2635" t="e">
            <v>#N/A</v>
          </cell>
          <cell r="O2635" t="str">
            <v>Hold Down Assembly/970-C</v>
          </cell>
        </row>
        <row r="2636">
          <cell r="K2636">
            <v>2124</v>
          </cell>
          <cell r="L2636" t="str">
            <v>HD</v>
          </cell>
          <cell r="M2636" t="str">
            <v>x</v>
          </cell>
          <cell r="N2636" t="e">
            <v>#N/A</v>
          </cell>
          <cell r="O2636" t="str">
            <v>Hold Down Assembly/750-C</v>
          </cell>
        </row>
        <row r="2637">
          <cell r="K2637" t="str">
            <v>STUD</v>
          </cell>
          <cell r="L2637" t="str">
            <v>HD</v>
          </cell>
          <cell r="M2637" t="str">
            <v>x</v>
          </cell>
          <cell r="N2637" t="e">
            <v>#N/A</v>
          </cell>
          <cell r="O2637" t="str">
            <v>Hold Down Assembly w/Bleeder For Lube Oil/500-C, 750-C</v>
          </cell>
        </row>
        <row r="2638">
          <cell r="K2638">
            <v>21246</v>
          </cell>
          <cell r="L2638" t="str">
            <v>HD</v>
          </cell>
          <cell r="M2638" t="str">
            <v>x</v>
          </cell>
          <cell r="N2638" t="e">
            <v>#N/A</v>
          </cell>
          <cell r="O2638" t="str">
            <v>Hold Down Assembly w/#6 Orifice/500-C</v>
          </cell>
        </row>
        <row r="2639">
          <cell r="K2639">
            <v>21244</v>
          </cell>
          <cell r="L2639" t="str">
            <v>HD</v>
          </cell>
          <cell r="M2639" t="str">
            <v>x</v>
          </cell>
          <cell r="N2639" t="e">
            <v>#N/A</v>
          </cell>
          <cell r="O2639" t="str">
            <v>Hold Down Assembly w/#4 Orifice/500-C</v>
          </cell>
        </row>
        <row r="2640">
          <cell r="K2640" t="str">
            <v>4168</v>
          </cell>
          <cell r="L2640" t="str">
            <v>HD</v>
          </cell>
          <cell r="M2640" t="str">
            <v>x</v>
          </cell>
          <cell r="N2640" t="e">
            <v>#N/A</v>
          </cell>
          <cell r="O2640" t="str">
            <v>Head Screw/F-170, F-1720-2, F-170-W</v>
          </cell>
        </row>
        <row r="2641">
          <cell r="K2641" t="str">
            <v>4167</v>
          </cell>
          <cell r="L2641" t="str">
            <v>HD</v>
          </cell>
          <cell r="M2641" t="str">
            <v>x</v>
          </cell>
          <cell r="N2641" t="e">
            <v>#N/A</v>
          </cell>
          <cell r="O2641" t="str">
            <v>Head Screw Washer, Steel/F-170, F-170-2, F-170-W</v>
          </cell>
        </row>
        <row r="2642">
          <cell r="K2642" t="str">
            <v>4190</v>
          </cell>
          <cell r="L2642" t="str">
            <v>HD</v>
          </cell>
          <cell r="M2642" t="str">
            <v>x</v>
          </cell>
          <cell r="N2642" t="e">
            <v>#N/A</v>
          </cell>
          <cell r="O2642" t="str">
            <v>Head Screw Seal, O-Ring/F-170, F-170-2, F-170-W</v>
          </cell>
        </row>
        <row r="2643">
          <cell r="K2643" t="str">
            <v>4041</v>
          </cell>
          <cell r="L2643" t="str">
            <v>HD</v>
          </cell>
          <cell r="M2643" t="str">
            <v>x</v>
          </cell>
          <cell r="N2643" t="e">
            <v>#N/A</v>
          </cell>
          <cell r="O2643" t="str">
            <v>Head Gasket, Buna-N/F-170, F170-2, F-170-W</v>
          </cell>
        </row>
        <row r="2644">
          <cell r="K2644" t="str">
            <v>F170</v>
          </cell>
          <cell r="L2644" t="str">
            <v>HD</v>
          </cell>
          <cell r="M2644" t="str">
            <v>x</v>
          </cell>
          <cell r="N2644" t="e">
            <v>#N/A</v>
          </cell>
          <cell r="O2644" t="str">
            <v>Head Casting (Cast Iron) F-170</v>
          </cell>
        </row>
        <row r="2645">
          <cell r="K2645" t="str">
            <v>LAF8832</v>
          </cell>
          <cell r="L2645" t="str">
            <v>HD</v>
          </cell>
          <cell r="M2645" t="str">
            <v>x</v>
          </cell>
          <cell r="N2645" t="e">
            <v>#N/A</v>
          </cell>
          <cell r="O2645" t="str">
            <v>HD Round Finned Air Filter with Attached Lid</v>
          </cell>
        </row>
        <row r="2646">
          <cell r="K2646" t="str">
            <v>LAF8979</v>
          </cell>
          <cell r="L2646" t="str">
            <v>HD</v>
          </cell>
          <cell r="M2646" t="str">
            <v>x</v>
          </cell>
          <cell r="N2646" t="e">
            <v>#N/A</v>
          </cell>
          <cell r="O2646" t="str">
            <v>HD Round Finned Air Filter with Attached Lid</v>
          </cell>
        </row>
        <row r="2647">
          <cell r="K2647" t="str">
            <v>LAF8553</v>
          </cell>
          <cell r="L2647" t="str">
            <v>HD</v>
          </cell>
          <cell r="M2647" t="str">
            <v>x</v>
          </cell>
          <cell r="N2647" t="e">
            <v>#N/A</v>
          </cell>
          <cell r="O2647" t="str">
            <v>HD Round Air Filter with Threaded Mounting Stud</v>
          </cell>
        </row>
        <row r="2648">
          <cell r="K2648" t="str">
            <v>LAF8580</v>
          </cell>
          <cell r="L2648" t="str">
            <v>HD</v>
          </cell>
          <cell r="M2648" t="str">
            <v>x</v>
          </cell>
          <cell r="N2648" t="e">
            <v>#N/A</v>
          </cell>
          <cell r="O2648" t="str">
            <v>HD Round Air Filter with Attached Lid</v>
          </cell>
        </row>
        <row r="2649">
          <cell r="K2649" t="str">
            <v>LAF8632</v>
          </cell>
          <cell r="L2649" t="str">
            <v>HD</v>
          </cell>
          <cell r="M2649" t="str">
            <v>x</v>
          </cell>
          <cell r="N2649" t="e">
            <v>#N/A</v>
          </cell>
          <cell r="O2649" t="str">
            <v>HD Round Air Filter with Attached Lid</v>
          </cell>
        </row>
        <row r="2650">
          <cell r="K2650" t="str">
            <v>LAF1728</v>
          </cell>
          <cell r="L2650" t="str">
            <v>HD</v>
          </cell>
          <cell r="M2650" t="str">
            <v>x</v>
          </cell>
          <cell r="N2650" t="e">
            <v>#N/A</v>
          </cell>
          <cell r="O2650" t="str">
            <v>HD Round Air Filter with Attached Lid</v>
          </cell>
        </row>
        <row r="2651">
          <cell r="K2651" t="str">
            <v>LAF8600</v>
          </cell>
          <cell r="L2651" t="str">
            <v>HD</v>
          </cell>
          <cell r="M2651" t="str">
            <v>x</v>
          </cell>
          <cell r="N2651" t="e">
            <v>#N/A</v>
          </cell>
          <cell r="O2651" t="str">
            <v>HD Round Air Filter with Attached Lid</v>
          </cell>
        </row>
        <row r="2652">
          <cell r="K2652" t="str">
            <v>LAF8608</v>
          </cell>
          <cell r="L2652" t="str">
            <v>HD</v>
          </cell>
          <cell r="M2652" t="str">
            <v>x</v>
          </cell>
          <cell r="N2652" t="e">
            <v>#N/A</v>
          </cell>
          <cell r="O2652" t="str">
            <v>HD Round Air Filter with Attached Boot</v>
          </cell>
        </row>
        <row r="2653">
          <cell r="K2653" t="str">
            <v>LAF8611</v>
          </cell>
          <cell r="L2653" t="str">
            <v>HD</v>
          </cell>
          <cell r="M2653" t="str">
            <v>x</v>
          </cell>
          <cell r="N2653" t="e">
            <v>#N/A</v>
          </cell>
          <cell r="O2653" t="str">
            <v>HD Round Air Filter with Attached Boot</v>
          </cell>
        </row>
        <row r="2654">
          <cell r="K2654" t="str">
            <v>LAF6404</v>
          </cell>
          <cell r="L2654" t="str">
            <v>HD</v>
          </cell>
          <cell r="M2654" t="str">
            <v>x</v>
          </cell>
          <cell r="N2654" t="e">
            <v>#N/A</v>
          </cell>
          <cell r="O2654" t="str">
            <v>HD Round Air Filter with Attached Boot</v>
          </cell>
        </row>
        <row r="2655">
          <cell r="K2655" t="str">
            <v>LAF4297</v>
          </cell>
          <cell r="L2655" t="str">
            <v>HD</v>
          </cell>
          <cell r="M2655" t="str">
            <v>x</v>
          </cell>
          <cell r="N2655" t="e">
            <v>#N/A</v>
          </cell>
          <cell r="O2655" t="str">
            <v>HD Round Air Filter with Attached Boot</v>
          </cell>
        </row>
        <row r="2656">
          <cell r="K2656" t="str">
            <v>P7029</v>
          </cell>
          <cell r="L2656" t="str">
            <v>HD</v>
          </cell>
          <cell r="M2656" t="str">
            <v>x</v>
          </cell>
          <cell r="N2656" t="e">
            <v>#N/A</v>
          </cell>
          <cell r="O2656" t="str">
            <v>HD Product</v>
          </cell>
        </row>
        <row r="2657">
          <cell r="K2657" t="str">
            <v>LAF8665</v>
          </cell>
          <cell r="L2657" t="str">
            <v>HD</v>
          </cell>
          <cell r="M2657" t="str">
            <v>x</v>
          </cell>
          <cell r="N2657" t="e">
            <v>#N/A</v>
          </cell>
          <cell r="O2657" t="str">
            <v>HD Metal-End Inner Air Filter</v>
          </cell>
        </row>
        <row r="2658">
          <cell r="K2658" t="str">
            <v>LAF5755</v>
          </cell>
          <cell r="L2658" t="str">
            <v>HD</v>
          </cell>
          <cell r="M2658" t="str">
            <v>x</v>
          </cell>
          <cell r="N2658" t="e">
            <v>#N/A</v>
          </cell>
          <cell r="O2658" t="str">
            <v>HD Metal-End Inner Air Filter</v>
          </cell>
        </row>
        <row r="2659">
          <cell r="K2659" t="str">
            <v>LAF1867</v>
          </cell>
          <cell r="L2659" t="str">
            <v>HD</v>
          </cell>
          <cell r="M2659" t="str">
            <v>x</v>
          </cell>
          <cell r="N2659" t="e">
            <v>#N/A</v>
          </cell>
          <cell r="O2659" t="str">
            <v>HD Metal-End Inner Air Filter</v>
          </cell>
        </row>
        <row r="2660">
          <cell r="K2660" t="str">
            <v>LAF5832</v>
          </cell>
          <cell r="L2660" t="str">
            <v>HD</v>
          </cell>
          <cell r="M2660" t="str">
            <v>x</v>
          </cell>
          <cell r="N2660" t="e">
            <v>#N/A</v>
          </cell>
          <cell r="O2660" t="str">
            <v>HD Metal-End Inner Air Filter</v>
          </cell>
        </row>
        <row r="2661">
          <cell r="K2661" t="str">
            <v>LAF8606</v>
          </cell>
          <cell r="L2661" t="str">
            <v>HD</v>
          </cell>
          <cell r="M2661" t="str">
            <v>x</v>
          </cell>
          <cell r="N2661" t="e">
            <v>#N/A</v>
          </cell>
          <cell r="O2661" t="str">
            <v>HD Metal-End Inner Air Filter</v>
          </cell>
        </row>
        <row r="2662">
          <cell r="K2662" t="str">
            <v>LAF8811</v>
          </cell>
          <cell r="L2662" t="str">
            <v>HD</v>
          </cell>
          <cell r="M2662" t="str">
            <v>x</v>
          </cell>
          <cell r="N2662" t="e">
            <v>#N/A</v>
          </cell>
          <cell r="O2662" t="str">
            <v>HD Metal-End Inner Air Filter</v>
          </cell>
        </row>
        <row r="2663">
          <cell r="K2663" t="str">
            <v>LAF22086</v>
          </cell>
          <cell r="L2663" t="str">
            <v>HD</v>
          </cell>
          <cell r="M2663" t="str">
            <v>x</v>
          </cell>
          <cell r="N2663" t="e">
            <v>#N/A</v>
          </cell>
          <cell r="O2663" t="str">
            <v>HD Metal-End Inner Air Filter</v>
          </cell>
        </row>
        <row r="2664">
          <cell r="K2664" t="str">
            <v>LAF4180</v>
          </cell>
          <cell r="L2664" t="str">
            <v>HD</v>
          </cell>
          <cell r="M2664" t="str">
            <v>x</v>
          </cell>
          <cell r="N2664" t="e">
            <v>#N/A</v>
          </cell>
          <cell r="O2664" t="str">
            <v>HD Metal-End Inner Air Filter</v>
          </cell>
        </row>
        <row r="2665">
          <cell r="K2665" t="str">
            <v>LAF2541</v>
          </cell>
          <cell r="L2665" t="str">
            <v>HD</v>
          </cell>
          <cell r="M2665" t="str">
            <v>x</v>
          </cell>
          <cell r="N2665" t="e">
            <v>#N/A</v>
          </cell>
          <cell r="O2665" t="str">
            <v>HD Metal-End Inner Air Filter</v>
          </cell>
        </row>
        <row r="2666">
          <cell r="K2666" t="str">
            <v>LAF22059</v>
          </cell>
          <cell r="L2666" t="str">
            <v>HD</v>
          </cell>
          <cell r="M2666" t="str">
            <v>x</v>
          </cell>
          <cell r="N2666" t="e">
            <v>#N/A</v>
          </cell>
          <cell r="O2666" t="str">
            <v>HD Metal-End Inner Air Filter</v>
          </cell>
        </row>
        <row r="2667">
          <cell r="K2667" t="str">
            <v>LAF8644</v>
          </cell>
          <cell r="L2667" t="str">
            <v>HD</v>
          </cell>
          <cell r="M2667" t="str">
            <v>x</v>
          </cell>
          <cell r="N2667" t="e">
            <v>#N/A</v>
          </cell>
          <cell r="O2667" t="str">
            <v>HD Metal-End Inner Air Filter</v>
          </cell>
        </row>
        <row r="2668">
          <cell r="K2668" t="str">
            <v>LAF8969</v>
          </cell>
          <cell r="L2668" t="str">
            <v>HD</v>
          </cell>
          <cell r="M2668" t="str">
            <v>x</v>
          </cell>
          <cell r="N2668" t="e">
            <v>#N/A</v>
          </cell>
          <cell r="O2668" t="str">
            <v>HD Metal-End Air Filter-Inner</v>
          </cell>
        </row>
        <row r="2669">
          <cell r="K2669" t="str">
            <v>LAF8598</v>
          </cell>
          <cell r="L2669" t="str">
            <v>HD</v>
          </cell>
          <cell r="M2669" t="str">
            <v>x</v>
          </cell>
          <cell r="N2669" t="e">
            <v>#N/A</v>
          </cell>
          <cell r="O2669" t="str">
            <v>HD Metal-End Air Filter-Inner</v>
          </cell>
        </row>
        <row r="2670">
          <cell r="K2670" t="str">
            <v>LAF8827</v>
          </cell>
          <cell r="L2670" t="str">
            <v>HD</v>
          </cell>
          <cell r="M2670" t="str">
            <v>x</v>
          </cell>
          <cell r="N2670" t="e">
            <v>#N/A</v>
          </cell>
          <cell r="O2670" t="str">
            <v>HD Metal-End Air Filter-Inner</v>
          </cell>
        </row>
        <row r="2671">
          <cell r="K2671" t="str">
            <v>LAF4324</v>
          </cell>
          <cell r="L2671" t="str">
            <v>HD</v>
          </cell>
          <cell r="M2671" t="str">
            <v>x</v>
          </cell>
          <cell r="N2671" t="e">
            <v>#N/A</v>
          </cell>
          <cell r="O2671" t="str">
            <v>HD Metal-End Air Filter with Attached Lid</v>
          </cell>
        </row>
        <row r="2672">
          <cell r="K2672" t="str">
            <v>LAF8626</v>
          </cell>
          <cell r="L2672" t="str">
            <v>HD</v>
          </cell>
          <cell r="M2672" t="str">
            <v>x</v>
          </cell>
          <cell r="N2672" t="e">
            <v>#N/A</v>
          </cell>
          <cell r="O2672" t="str">
            <v>HD Metal-End Air Filter with Attached Lid</v>
          </cell>
        </row>
        <row r="2673">
          <cell r="K2673" t="str">
            <v>LAF8615</v>
          </cell>
          <cell r="L2673" t="str">
            <v>HD</v>
          </cell>
          <cell r="M2673" t="str">
            <v>x</v>
          </cell>
          <cell r="N2673" t="e">
            <v>#N/A</v>
          </cell>
          <cell r="O2673" t="str">
            <v>HD Metal-End Air Filter with Attached Lid</v>
          </cell>
        </row>
        <row r="2674">
          <cell r="K2674" t="str">
            <v>LAF5829</v>
          </cell>
          <cell r="L2674" t="str">
            <v>HD</v>
          </cell>
          <cell r="M2674" t="str">
            <v>x</v>
          </cell>
          <cell r="N2674" t="e">
            <v>#N/A</v>
          </cell>
          <cell r="O2674" t="str">
            <v>HD Metal-End Air Filter with Attached Lid</v>
          </cell>
        </row>
        <row r="2675">
          <cell r="K2675" t="str">
            <v>LAF8763</v>
          </cell>
          <cell r="L2675" t="str">
            <v>HD</v>
          </cell>
          <cell r="M2675" t="str">
            <v>x</v>
          </cell>
          <cell r="N2675" t="e">
            <v>#N/A</v>
          </cell>
          <cell r="O2675" t="str">
            <v>HD Metal-End Air Filter with Attached Lid</v>
          </cell>
        </row>
        <row r="2676">
          <cell r="K2676" t="str">
            <v>LAF8160</v>
          </cell>
          <cell r="L2676" t="str">
            <v>HD</v>
          </cell>
          <cell r="M2676" t="str">
            <v>x</v>
          </cell>
          <cell r="N2676" t="e">
            <v>#N/A</v>
          </cell>
          <cell r="O2676" t="str">
            <v>HD Metal-End Air Filter with Attached Lid</v>
          </cell>
        </row>
        <row r="2677">
          <cell r="K2677" t="str">
            <v>LAF5881</v>
          </cell>
          <cell r="L2677" t="str">
            <v>HD</v>
          </cell>
          <cell r="M2677" t="str">
            <v>x</v>
          </cell>
          <cell r="N2677" t="e">
            <v>#N/A</v>
          </cell>
          <cell r="O2677" t="str">
            <v>HD Metal-End Air Filter with Attached Lid</v>
          </cell>
        </row>
        <row r="2678">
          <cell r="K2678" t="str">
            <v>LAF8066</v>
          </cell>
          <cell r="L2678" t="str">
            <v>HD</v>
          </cell>
          <cell r="M2678" t="str">
            <v>x</v>
          </cell>
          <cell r="N2678" t="e">
            <v>#N/A</v>
          </cell>
          <cell r="O2678" t="str">
            <v>HD Metal-End Air Filter with Attached Lid</v>
          </cell>
        </row>
        <row r="2679">
          <cell r="K2679" t="str">
            <v>LAF4215</v>
          </cell>
          <cell r="L2679" t="str">
            <v>HD</v>
          </cell>
          <cell r="M2679" t="str">
            <v>x</v>
          </cell>
          <cell r="N2679" t="e">
            <v>#N/A</v>
          </cell>
          <cell r="O2679" t="str">
            <v>HD Metal-End Air Filter with Attached Lid</v>
          </cell>
        </row>
        <row r="2680">
          <cell r="K2680" t="str">
            <v>LAF8652</v>
          </cell>
          <cell r="L2680" t="str">
            <v>HD</v>
          </cell>
          <cell r="M2680" t="str">
            <v>x</v>
          </cell>
          <cell r="N2680" t="e">
            <v>#N/A</v>
          </cell>
          <cell r="O2680" t="str">
            <v>HD Metal-End Air Filter with Attached Lid</v>
          </cell>
        </row>
        <row r="2681">
          <cell r="K2681" t="str">
            <v>LAF8162</v>
          </cell>
          <cell r="L2681" t="str">
            <v>HD</v>
          </cell>
          <cell r="M2681" t="str">
            <v>x</v>
          </cell>
          <cell r="N2681" t="e">
            <v>#N/A</v>
          </cell>
          <cell r="O2681" t="str">
            <v>HD Metal-End Air Filter with Attached Lid</v>
          </cell>
        </row>
        <row r="2682">
          <cell r="K2682" t="str">
            <v>LAF5759</v>
          </cell>
          <cell r="L2682" t="str">
            <v>HD</v>
          </cell>
          <cell r="M2682" t="str">
            <v>x</v>
          </cell>
          <cell r="N2682" t="e">
            <v>#N/A</v>
          </cell>
          <cell r="O2682" t="str">
            <v>HD Metal-End Air Filter with Attached Lid</v>
          </cell>
        </row>
        <row r="2683">
          <cell r="K2683" t="str">
            <v>LAF5786</v>
          </cell>
          <cell r="L2683" t="str">
            <v>HD</v>
          </cell>
          <cell r="M2683" t="str">
            <v>x</v>
          </cell>
          <cell r="N2683" t="e">
            <v>#N/A</v>
          </cell>
          <cell r="O2683" t="str">
            <v>HD Metal-End Air Filter with Attached Lid</v>
          </cell>
        </row>
        <row r="2684">
          <cell r="K2684" t="str">
            <v>LAF3715</v>
          </cell>
          <cell r="L2684" t="str">
            <v>HD</v>
          </cell>
          <cell r="M2684" t="str">
            <v>x</v>
          </cell>
          <cell r="N2684" t="e">
            <v>#N/A</v>
          </cell>
          <cell r="O2684" t="str">
            <v>HD Metal-End Air Filter with Attached Lid</v>
          </cell>
        </row>
        <row r="2685">
          <cell r="K2685" t="str">
            <v>LAF8636</v>
          </cell>
          <cell r="L2685" t="str">
            <v>HD</v>
          </cell>
          <cell r="M2685" t="str">
            <v>x</v>
          </cell>
          <cell r="N2685" t="e">
            <v>#N/A</v>
          </cell>
          <cell r="O2685" t="str">
            <v>HD Metal-End Air Filter with Attached Lid</v>
          </cell>
        </row>
        <row r="2686">
          <cell r="K2686" t="str">
            <v>LAF22051</v>
          </cell>
          <cell r="L2686" t="str">
            <v>HD</v>
          </cell>
          <cell r="M2686" t="str">
            <v>x</v>
          </cell>
          <cell r="N2686" t="e">
            <v>#N/A</v>
          </cell>
          <cell r="O2686" t="str">
            <v>HD Metal-End Air Filter</v>
          </cell>
        </row>
        <row r="2687">
          <cell r="K2687" t="str">
            <v>LAF2586</v>
          </cell>
          <cell r="L2687" t="str">
            <v>HD</v>
          </cell>
          <cell r="M2687" t="str">
            <v>x</v>
          </cell>
          <cell r="N2687" t="e">
            <v>#N/A</v>
          </cell>
          <cell r="O2687" t="str">
            <v>HD Metal-End Air Filter</v>
          </cell>
        </row>
        <row r="2688">
          <cell r="K2688" t="str">
            <v>LAF1884</v>
          </cell>
          <cell r="L2688" t="str">
            <v>HD</v>
          </cell>
          <cell r="M2688" t="str">
            <v>x</v>
          </cell>
          <cell r="N2688" t="e">
            <v>#N/A</v>
          </cell>
          <cell r="O2688" t="str">
            <v>HD Metal-End Air Filter</v>
          </cell>
        </row>
        <row r="2689">
          <cell r="K2689" t="str">
            <v>LAF5750</v>
          </cell>
          <cell r="L2689" t="str">
            <v>HD</v>
          </cell>
          <cell r="M2689" t="str">
            <v>x</v>
          </cell>
          <cell r="N2689" t="e">
            <v>#N/A</v>
          </cell>
          <cell r="O2689" t="str">
            <v>HD Metal-End Air Filter</v>
          </cell>
        </row>
        <row r="2690">
          <cell r="K2690" t="str">
            <v>LAF1992</v>
          </cell>
          <cell r="L2690" t="str">
            <v>HD</v>
          </cell>
          <cell r="M2690" t="str">
            <v>x</v>
          </cell>
          <cell r="N2690" t="e">
            <v>#N/A</v>
          </cell>
          <cell r="O2690" t="str">
            <v>HD Metal-End Air Filter</v>
          </cell>
        </row>
        <row r="2691">
          <cell r="K2691" t="str">
            <v>LAF1885</v>
          </cell>
          <cell r="L2691" t="str">
            <v>HD</v>
          </cell>
          <cell r="M2691" t="str">
            <v>x</v>
          </cell>
          <cell r="N2691" t="e">
            <v>#N/A</v>
          </cell>
          <cell r="O2691" t="str">
            <v>HD Metal-End Air Filter</v>
          </cell>
        </row>
        <row r="2692">
          <cell r="K2692" t="str">
            <v>LAF8919</v>
          </cell>
          <cell r="L2692" t="str">
            <v>HD</v>
          </cell>
          <cell r="M2692" t="str">
            <v>x</v>
          </cell>
          <cell r="N2692" t="e">
            <v>#N/A</v>
          </cell>
          <cell r="O2692" t="str">
            <v>HD Metal-End Air Filter</v>
          </cell>
        </row>
        <row r="2693">
          <cell r="K2693" t="str">
            <v>LAF8831</v>
          </cell>
          <cell r="L2693" t="str">
            <v>HD</v>
          </cell>
          <cell r="M2693" t="str">
            <v>x</v>
          </cell>
          <cell r="N2693" t="e">
            <v>#N/A</v>
          </cell>
          <cell r="O2693" t="str">
            <v>HD Metal-End Air Filter</v>
          </cell>
        </row>
        <row r="2694">
          <cell r="K2694" t="str">
            <v>LAF5782</v>
          </cell>
          <cell r="L2694" t="str">
            <v>HD</v>
          </cell>
          <cell r="M2694" t="str">
            <v>x</v>
          </cell>
          <cell r="N2694" t="e">
            <v>#N/A</v>
          </cell>
          <cell r="O2694" t="str">
            <v>HD Metal-End Air Filter</v>
          </cell>
        </row>
        <row r="2695">
          <cell r="K2695" t="str">
            <v>LAF2522</v>
          </cell>
          <cell r="L2695" t="str">
            <v>HD</v>
          </cell>
          <cell r="M2695" t="str">
            <v>x</v>
          </cell>
          <cell r="N2695" t="e">
            <v>#N/A</v>
          </cell>
          <cell r="O2695" t="str">
            <v>HD Metal-End Air Filter</v>
          </cell>
        </row>
        <row r="2696">
          <cell r="K2696" t="str">
            <v>LAF5833</v>
          </cell>
          <cell r="L2696" t="str">
            <v>HD</v>
          </cell>
          <cell r="M2696" t="str">
            <v>x</v>
          </cell>
          <cell r="N2696" t="e">
            <v>#N/A</v>
          </cell>
          <cell r="O2696" t="str">
            <v>HD Metal-End Air Filter</v>
          </cell>
        </row>
        <row r="2697">
          <cell r="K2697" t="str">
            <v>LAF8576</v>
          </cell>
          <cell r="L2697" t="str">
            <v>HD</v>
          </cell>
          <cell r="M2697" t="str">
            <v>x</v>
          </cell>
          <cell r="N2697" t="e">
            <v>#N/A</v>
          </cell>
          <cell r="O2697" t="str">
            <v>HD Metal-End Air Filter</v>
          </cell>
        </row>
        <row r="2698">
          <cell r="K2698" t="str">
            <v>LAF8975</v>
          </cell>
          <cell r="L2698" t="str">
            <v>HD</v>
          </cell>
          <cell r="M2698" t="str">
            <v>x</v>
          </cell>
          <cell r="N2698" t="e">
            <v>#N/A</v>
          </cell>
          <cell r="O2698" t="str">
            <v>HD Metal-End Air Filter</v>
          </cell>
        </row>
        <row r="2699">
          <cell r="K2699" t="str">
            <v>LAF8525</v>
          </cell>
          <cell r="L2699" t="str">
            <v>HD</v>
          </cell>
          <cell r="M2699" t="str">
            <v>x</v>
          </cell>
          <cell r="N2699" t="e">
            <v>#N/A</v>
          </cell>
          <cell r="O2699" t="str">
            <v>HD Metal-End Air Filter</v>
          </cell>
        </row>
        <row r="2700">
          <cell r="K2700" t="str">
            <v>LAF8638</v>
          </cell>
          <cell r="L2700" t="str">
            <v>HD</v>
          </cell>
          <cell r="M2700" t="str">
            <v>x</v>
          </cell>
          <cell r="N2700" t="e">
            <v>#N/A</v>
          </cell>
          <cell r="O2700" t="str">
            <v>HD Metal-End Air Filter</v>
          </cell>
        </row>
        <row r="2701">
          <cell r="K2701" t="str">
            <v>LAF9462</v>
          </cell>
          <cell r="L2701" t="str">
            <v>HD</v>
          </cell>
          <cell r="M2701" t="str">
            <v>x</v>
          </cell>
          <cell r="N2701" t="e">
            <v>#N/A</v>
          </cell>
          <cell r="O2701" t="str">
            <v>HD Metal-End Air Filter</v>
          </cell>
        </row>
        <row r="2702">
          <cell r="K2702" t="str">
            <v>LAF8978</v>
          </cell>
          <cell r="L2702" t="str">
            <v>HD</v>
          </cell>
          <cell r="M2702" t="str">
            <v>x</v>
          </cell>
          <cell r="N2702" t="e">
            <v>#N/A</v>
          </cell>
          <cell r="O2702" t="str">
            <v>HD Metal-End Air Filter</v>
          </cell>
        </row>
        <row r="2703">
          <cell r="K2703" t="str">
            <v>LAF1075</v>
          </cell>
          <cell r="L2703" t="str">
            <v>HD</v>
          </cell>
          <cell r="M2703" t="str">
            <v>x</v>
          </cell>
          <cell r="N2703" t="e">
            <v>#N/A</v>
          </cell>
          <cell r="O2703" t="str">
            <v>HD Metal-End Air Filter</v>
          </cell>
        </row>
        <row r="2704">
          <cell r="K2704" t="str">
            <v>LAF3352</v>
          </cell>
          <cell r="L2704" t="str">
            <v>HD</v>
          </cell>
          <cell r="M2704" t="str">
            <v>x</v>
          </cell>
          <cell r="N2704" t="e">
            <v>#N/A</v>
          </cell>
          <cell r="O2704" t="str">
            <v>HD Metal-End Air Filter</v>
          </cell>
        </row>
        <row r="2705">
          <cell r="K2705" t="str">
            <v>LAF8079</v>
          </cell>
          <cell r="L2705" t="str">
            <v>HD</v>
          </cell>
          <cell r="M2705" t="str">
            <v>x</v>
          </cell>
          <cell r="N2705" t="e">
            <v>#N/A</v>
          </cell>
          <cell r="O2705" t="str">
            <v>HD Metal-End Air Filter</v>
          </cell>
        </row>
        <row r="2706">
          <cell r="K2706" t="str">
            <v>LAF8601</v>
          </cell>
          <cell r="L2706" t="str">
            <v>HD</v>
          </cell>
          <cell r="M2706" t="str">
            <v>x</v>
          </cell>
          <cell r="N2706" t="e">
            <v>#N/A</v>
          </cell>
          <cell r="O2706" t="str">
            <v>HD Metal-End Air Filter</v>
          </cell>
        </row>
        <row r="2707">
          <cell r="K2707" t="str">
            <v>LAF5887</v>
          </cell>
          <cell r="L2707" t="str">
            <v>HD</v>
          </cell>
          <cell r="M2707" t="str">
            <v>x</v>
          </cell>
          <cell r="N2707" t="e">
            <v>#N/A</v>
          </cell>
          <cell r="O2707" t="str">
            <v>HD Metal-End Air Filter</v>
          </cell>
        </row>
        <row r="2708">
          <cell r="K2708" t="str">
            <v>LAF3214</v>
          </cell>
          <cell r="L2708" t="str">
            <v>HD</v>
          </cell>
          <cell r="M2708" t="str">
            <v>x</v>
          </cell>
          <cell r="N2708" t="e">
            <v>#N/A</v>
          </cell>
          <cell r="O2708" t="str">
            <v>HD Metal-End Air Filter</v>
          </cell>
        </row>
        <row r="2709">
          <cell r="K2709" t="str">
            <v>LAF5884</v>
          </cell>
          <cell r="L2709" t="str">
            <v>HD</v>
          </cell>
          <cell r="M2709" t="str">
            <v>x</v>
          </cell>
          <cell r="N2709" t="e">
            <v>#N/A</v>
          </cell>
          <cell r="O2709" t="str">
            <v>HD Metal-End Air Filter</v>
          </cell>
        </row>
        <row r="2710">
          <cell r="K2710" t="str">
            <v>LAF8169</v>
          </cell>
          <cell r="L2710" t="str">
            <v>HD</v>
          </cell>
          <cell r="M2710" t="str">
            <v>x</v>
          </cell>
          <cell r="N2710" t="e">
            <v>#N/A</v>
          </cell>
          <cell r="O2710" t="str">
            <v>HD Metal-End Air Filter</v>
          </cell>
        </row>
        <row r="2711">
          <cell r="K2711" t="str">
            <v>LAF5038</v>
          </cell>
          <cell r="L2711" t="str">
            <v>HD</v>
          </cell>
          <cell r="M2711" t="str">
            <v>x</v>
          </cell>
          <cell r="N2711" t="e">
            <v>#N/A</v>
          </cell>
          <cell r="O2711" t="str">
            <v>HD Metal-End Air Filter</v>
          </cell>
        </row>
        <row r="2712">
          <cell r="K2712" t="str">
            <v>LAF8564</v>
          </cell>
          <cell r="L2712" t="str">
            <v>HD</v>
          </cell>
          <cell r="M2712" t="str">
            <v>x</v>
          </cell>
          <cell r="N2712" t="e">
            <v>#N/A</v>
          </cell>
          <cell r="O2712" t="str">
            <v>HD Metal-End Air Filter</v>
          </cell>
        </row>
        <row r="2713">
          <cell r="K2713" t="str">
            <v>LAF8527</v>
          </cell>
          <cell r="L2713" t="str">
            <v>HD</v>
          </cell>
          <cell r="M2713" t="str">
            <v>x</v>
          </cell>
          <cell r="N2713" t="e">
            <v>#N/A</v>
          </cell>
          <cell r="O2713" t="str">
            <v>HD Metal-End Air Filter</v>
          </cell>
        </row>
        <row r="2714">
          <cell r="K2714" t="str">
            <v>LAF5838</v>
          </cell>
          <cell r="L2714" t="str">
            <v>HD</v>
          </cell>
          <cell r="M2714" t="str">
            <v>x</v>
          </cell>
          <cell r="N2714" t="e">
            <v>#N/A</v>
          </cell>
          <cell r="O2714" t="str">
            <v>HD Metal-End Air Filter</v>
          </cell>
        </row>
        <row r="2715">
          <cell r="K2715" t="str">
            <v>LAF681</v>
          </cell>
          <cell r="L2715" t="str">
            <v>HD</v>
          </cell>
          <cell r="M2715" t="str">
            <v>x</v>
          </cell>
          <cell r="N2715" t="e">
            <v>#N/A</v>
          </cell>
          <cell r="O2715" t="str">
            <v>HD Metal-End Air Filter</v>
          </cell>
        </row>
        <row r="2716">
          <cell r="K2716" t="str">
            <v>LAF8076</v>
          </cell>
          <cell r="L2716" t="str">
            <v>HD</v>
          </cell>
          <cell r="M2716" t="str">
            <v>x</v>
          </cell>
          <cell r="N2716" t="e">
            <v>#N/A</v>
          </cell>
          <cell r="O2716" t="str">
            <v>HD Metal-End Air Filter</v>
          </cell>
        </row>
        <row r="2717">
          <cell r="K2717" t="str">
            <v>LAF4289</v>
          </cell>
          <cell r="L2717" t="str">
            <v>HD</v>
          </cell>
          <cell r="M2717" t="str">
            <v>x</v>
          </cell>
          <cell r="N2717" t="e">
            <v>#N/A</v>
          </cell>
          <cell r="O2717" t="str">
            <v>HD Metal-End Air Filter</v>
          </cell>
        </row>
        <row r="2718">
          <cell r="K2718" t="str">
            <v>LAF8921</v>
          </cell>
          <cell r="L2718" t="str">
            <v>HD</v>
          </cell>
          <cell r="M2718" t="str">
            <v>x</v>
          </cell>
          <cell r="N2718" t="e">
            <v>#N/A</v>
          </cell>
          <cell r="O2718" t="str">
            <v>HD Metal-End Air Filter</v>
          </cell>
        </row>
        <row r="2719">
          <cell r="K2719" t="str">
            <v>LAF4318</v>
          </cell>
          <cell r="L2719" t="str">
            <v>HD</v>
          </cell>
          <cell r="M2719" t="str">
            <v>x</v>
          </cell>
          <cell r="N2719" t="e">
            <v>#N/A</v>
          </cell>
          <cell r="O2719" t="str">
            <v>HD Metal-End Air Filter</v>
          </cell>
        </row>
        <row r="2720">
          <cell r="K2720" t="str">
            <v>LAF4284</v>
          </cell>
          <cell r="L2720" t="str">
            <v>HD</v>
          </cell>
          <cell r="M2720" t="str">
            <v>x</v>
          </cell>
          <cell r="N2720" t="e">
            <v>#N/A</v>
          </cell>
          <cell r="O2720" t="str">
            <v>HD Metal-End Air Filter</v>
          </cell>
        </row>
        <row r="2721">
          <cell r="K2721" t="str">
            <v>LAF22092</v>
          </cell>
          <cell r="L2721" t="str">
            <v>HD</v>
          </cell>
          <cell r="M2721" t="str">
            <v>x</v>
          </cell>
          <cell r="N2721" t="e">
            <v>#N/A</v>
          </cell>
          <cell r="O2721" t="str">
            <v>HD Metal-End Air Filter</v>
          </cell>
        </row>
        <row r="2722">
          <cell r="K2722" t="str">
            <v>LAF5885</v>
          </cell>
          <cell r="L2722" t="str">
            <v>HD</v>
          </cell>
          <cell r="M2722" t="str">
            <v>x</v>
          </cell>
          <cell r="N2722" t="e">
            <v>#N/A</v>
          </cell>
          <cell r="O2722" t="str">
            <v>HD Metal-End Air Filter</v>
          </cell>
        </row>
        <row r="2723">
          <cell r="K2723" t="str">
            <v>LAF4278</v>
          </cell>
          <cell r="L2723" t="str">
            <v>HD</v>
          </cell>
          <cell r="M2723" t="str">
            <v>x</v>
          </cell>
          <cell r="N2723" t="e">
            <v>#N/A</v>
          </cell>
          <cell r="O2723" t="str">
            <v>HD Metal-End Air Filter</v>
          </cell>
        </row>
        <row r="2724">
          <cell r="K2724" t="str">
            <v>LAF8352</v>
          </cell>
          <cell r="L2724" t="str">
            <v>HD</v>
          </cell>
          <cell r="M2724" t="str">
            <v>x</v>
          </cell>
          <cell r="N2724" t="e">
            <v>#N/A</v>
          </cell>
          <cell r="O2724" t="str">
            <v>HD Metal-End Air Filter</v>
          </cell>
        </row>
        <row r="2725">
          <cell r="K2725" t="str">
            <v>LAF8168</v>
          </cell>
          <cell r="L2725" t="str">
            <v>HD</v>
          </cell>
          <cell r="M2725" t="str">
            <v>x</v>
          </cell>
          <cell r="N2725" t="e">
            <v>#N/A</v>
          </cell>
          <cell r="O2725" t="str">
            <v>HD Metal-End Air Filter</v>
          </cell>
        </row>
        <row r="2726">
          <cell r="K2726" t="str">
            <v>LAF4157</v>
          </cell>
          <cell r="L2726" t="str">
            <v>HD</v>
          </cell>
          <cell r="M2726" t="str">
            <v>x</v>
          </cell>
          <cell r="N2726" t="e">
            <v>#N/A</v>
          </cell>
          <cell r="O2726" t="str">
            <v>HD Metal-End Air Filter</v>
          </cell>
        </row>
        <row r="2727">
          <cell r="K2727" t="str">
            <v>LAF22093</v>
          </cell>
          <cell r="L2727" t="str">
            <v>HD</v>
          </cell>
          <cell r="M2727" t="str">
            <v>x</v>
          </cell>
          <cell r="N2727" t="e">
            <v>#N/A</v>
          </cell>
          <cell r="O2727" t="str">
            <v>HD Metal-End Air Filter</v>
          </cell>
        </row>
        <row r="2728">
          <cell r="K2728" t="str">
            <v>LAF8491</v>
          </cell>
          <cell r="L2728" t="str">
            <v>HD</v>
          </cell>
          <cell r="M2728" t="str">
            <v>x</v>
          </cell>
          <cell r="N2728" t="e">
            <v>#N/A</v>
          </cell>
          <cell r="O2728" t="str">
            <v>HD Metal-End Air Filter</v>
          </cell>
        </row>
        <row r="2729">
          <cell r="K2729" t="str">
            <v>LAF8570</v>
          </cell>
          <cell r="L2729" t="str">
            <v>HD</v>
          </cell>
          <cell r="M2729" t="str">
            <v>x</v>
          </cell>
          <cell r="N2729" t="e">
            <v>#N/A</v>
          </cell>
          <cell r="O2729" t="str">
            <v>HD Metal-End Air Filter</v>
          </cell>
        </row>
        <row r="2730">
          <cell r="K2730" t="str">
            <v>LAF5743</v>
          </cell>
          <cell r="L2730" t="str">
            <v>HD</v>
          </cell>
          <cell r="M2730" t="str">
            <v>x</v>
          </cell>
          <cell r="N2730" t="str">
            <v>LAF5743</v>
          </cell>
          <cell r="O2730" t="str">
            <v>HD Metal-End Air Filter</v>
          </cell>
        </row>
        <row r="2731">
          <cell r="K2731" t="str">
            <v>LK305GM</v>
          </cell>
          <cell r="L2731" t="str">
            <v>HD</v>
          </cell>
          <cell r="M2731" t="str">
            <v>x</v>
          </cell>
          <cell r="N2731" t="e">
            <v>#N/A</v>
          </cell>
          <cell r="O2731" t="str">
            <v>General Motors Engine Maintenance Kit</v>
          </cell>
        </row>
        <row r="2732">
          <cell r="K2732" t="str">
            <v>3795</v>
          </cell>
          <cell r="L2732" t="str">
            <v>HD</v>
          </cell>
          <cell r="M2732" t="str">
            <v>x</v>
          </cell>
          <cell r="N2732" t="e">
            <v>#N/A</v>
          </cell>
          <cell r="O2732" t="str">
            <v>Gasket, Square Section Ring, Replaces Cummins 153528</v>
          </cell>
        </row>
        <row r="2733">
          <cell r="K2733" t="str">
            <v>3907</v>
          </cell>
          <cell r="L2733" t="str">
            <v>HD</v>
          </cell>
          <cell r="M2733" t="str">
            <v>x</v>
          </cell>
          <cell r="N2733" t="e">
            <v>#N/A</v>
          </cell>
          <cell r="O2733" t="str">
            <v>Gasket, Replaces Cummins 169802</v>
          </cell>
        </row>
        <row r="2734">
          <cell r="K2734" t="str">
            <v>3915</v>
          </cell>
          <cell r="L2734" t="str">
            <v>HD</v>
          </cell>
          <cell r="M2734" t="str">
            <v>x</v>
          </cell>
          <cell r="N2734" t="e">
            <v>#N/A</v>
          </cell>
          <cell r="O2734" t="str">
            <v>Gasket, Replaces Cummins 163330</v>
          </cell>
        </row>
        <row r="2735">
          <cell r="K2735" t="str">
            <v>3861</v>
          </cell>
          <cell r="L2735" t="str">
            <v>HD</v>
          </cell>
          <cell r="M2735" t="str">
            <v>x</v>
          </cell>
          <cell r="N2735" t="e">
            <v>#N/A</v>
          </cell>
          <cell r="O2735" t="str">
            <v>Gasket, Replaces Cummins 158019</v>
          </cell>
        </row>
        <row r="2736">
          <cell r="K2736" t="str">
            <v>3773</v>
          </cell>
          <cell r="L2736" t="str">
            <v>HD</v>
          </cell>
          <cell r="M2736" t="str">
            <v>x</v>
          </cell>
          <cell r="N2736" t="e">
            <v>#N/A</v>
          </cell>
          <cell r="O2736" t="str">
            <v>Gasket, Replaces Cummins 128801</v>
          </cell>
        </row>
        <row r="2737">
          <cell r="K2737" t="str">
            <v>3912</v>
          </cell>
          <cell r="L2737" t="str">
            <v>HD</v>
          </cell>
          <cell r="M2737" t="str">
            <v>x</v>
          </cell>
          <cell r="N2737" t="e">
            <v>#N/A</v>
          </cell>
          <cell r="O2737" t="str">
            <v>Gasket, Replaces Cummins 110108</v>
          </cell>
        </row>
        <row r="2738">
          <cell r="K2738" t="str">
            <v>3392</v>
          </cell>
          <cell r="L2738" t="str">
            <v>HD</v>
          </cell>
          <cell r="M2738" t="str">
            <v>x</v>
          </cell>
          <cell r="N2738" t="e">
            <v>#N/A</v>
          </cell>
          <cell r="O2738" t="str">
            <v>Gasket, Flat, Retangular/Replaces Cummins 132484</v>
          </cell>
        </row>
        <row r="2739">
          <cell r="K2739" t="str">
            <v>3967B</v>
          </cell>
          <cell r="L2739" t="str">
            <v>HD</v>
          </cell>
          <cell r="M2739" t="str">
            <v>x</v>
          </cell>
          <cell r="N2739" t="e">
            <v>#N/A</v>
          </cell>
          <cell r="O2739" t="str">
            <v>Gasket, Cummins Applied</v>
          </cell>
        </row>
        <row r="2740">
          <cell r="K2740" t="str">
            <v>GASKET</v>
          </cell>
          <cell r="L2740" t="str">
            <v>HD</v>
          </cell>
          <cell r="M2740" t="str">
            <v>x</v>
          </cell>
          <cell r="N2740" t="e">
            <v>#N/A</v>
          </cell>
          <cell r="O2740" t="str">
            <v>GASKET 326-21606</v>
          </cell>
        </row>
        <row r="2741">
          <cell r="K2741" t="str">
            <v>GASKET</v>
          </cell>
          <cell r="L2741" t="str">
            <v>HD</v>
          </cell>
          <cell r="M2741" t="str">
            <v>x</v>
          </cell>
          <cell r="N2741" t="e">
            <v>#N/A</v>
          </cell>
          <cell r="O2741" t="str">
            <v>GASKET 26-13863</v>
          </cell>
        </row>
        <row r="2742">
          <cell r="K2742" t="str">
            <v>LWG4864</v>
          </cell>
          <cell r="L2742" t="str">
            <v>HD</v>
          </cell>
          <cell r="M2742" t="str">
            <v>x</v>
          </cell>
          <cell r="N2742" t="e">
            <v>#N/A</v>
          </cell>
          <cell r="O2742" t="str">
            <v>Gasket</v>
          </cell>
        </row>
        <row r="2743">
          <cell r="K2743" t="str">
            <v>3795B</v>
          </cell>
          <cell r="L2743" t="str">
            <v>HD</v>
          </cell>
          <cell r="M2743" t="str">
            <v>x</v>
          </cell>
          <cell r="N2743" t="e">
            <v>#N/A</v>
          </cell>
          <cell r="O2743" t="str">
            <v>Gasket</v>
          </cell>
        </row>
        <row r="2744">
          <cell r="K2744" t="str">
            <v>LAF5452W</v>
          </cell>
          <cell r="L2744" t="str">
            <v>HD</v>
          </cell>
          <cell r="M2744" t="str">
            <v>x</v>
          </cell>
          <cell r="N2744" t="e">
            <v>#N/A</v>
          </cell>
          <cell r="O2744" t="str">
            <v>Foam Wrap Air Filter</v>
          </cell>
        </row>
        <row r="2745">
          <cell r="K2745" t="str">
            <v>LAF3680</v>
          </cell>
          <cell r="L2745" t="str">
            <v>HD</v>
          </cell>
          <cell r="M2745" t="str">
            <v>x</v>
          </cell>
          <cell r="N2745" t="e">
            <v>#N/A</v>
          </cell>
          <cell r="O2745" t="str">
            <v>Foam Air Filter</v>
          </cell>
        </row>
        <row r="2746">
          <cell r="K2746" t="str">
            <v>FLOOR</v>
          </cell>
          <cell r="L2746" t="str">
            <v>HD</v>
          </cell>
          <cell r="M2746" t="str">
            <v>x</v>
          </cell>
          <cell r="N2746" t="e">
            <v>#N/A</v>
          </cell>
          <cell r="O2746" t="str">
            <v>FLOOR BASE</v>
          </cell>
        </row>
        <row r="2747">
          <cell r="K2747" t="str">
            <v>LAF5716</v>
          </cell>
          <cell r="L2747" t="str">
            <v>HD</v>
          </cell>
          <cell r="M2747" t="str">
            <v>x</v>
          </cell>
          <cell r="N2747" t="e">
            <v>#N/A</v>
          </cell>
          <cell r="O2747" t="str">
            <v>Flexible Panel Air Filter</v>
          </cell>
        </row>
        <row r="2748">
          <cell r="K2748" t="str">
            <v>LAF8645</v>
          </cell>
          <cell r="L2748" t="str">
            <v>HD</v>
          </cell>
          <cell r="M2748" t="str">
            <v>x</v>
          </cell>
          <cell r="N2748" t="e">
            <v>#N/A</v>
          </cell>
          <cell r="O2748" t="str">
            <v>Flexible Panel Air Filter</v>
          </cell>
        </row>
        <row r="2749">
          <cell r="K2749" t="str">
            <v>LAF7185</v>
          </cell>
          <cell r="L2749" t="str">
            <v>HD</v>
          </cell>
          <cell r="M2749" t="str">
            <v>x</v>
          </cell>
          <cell r="N2749" t="e">
            <v>#N/A</v>
          </cell>
          <cell r="O2749" t="str">
            <v>Finned Vane Inner Air Filter</v>
          </cell>
        </row>
        <row r="2750">
          <cell r="K2750" t="str">
            <v>LAF2872</v>
          </cell>
          <cell r="L2750" t="str">
            <v>HD</v>
          </cell>
          <cell r="M2750" t="str">
            <v>x</v>
          </cell>
          <cell r="N2750" t="e">
            <v>#N/A</v>
          </cell>
          <cell r="O2750" t="str">
            <v>Finned Vane Air Filter</v>
          </cell>
        </row>
        <row r="2751">
          <cell r="K2751" t="str">
            <v>LAF1868</v>
          </cell>
          <cell r="L2751" t="str">
            <v>HD</v>
          </cell>
          <cell r="M2751" t="str">
            <v>x</v>
          </cell>
          <cell r="N2751" t="e">
            <v>#N/A</v>
          </cell>
          <cell r="O2751" t="str">
            <v>Finned Vane Air Filter</v>
          </cell>
        </row>
        <row r="2752">
          <cell r="K2752" t="str">
            <v>LAF8637</v>
          </cell>
          <cell r="L2752" t="str">
            <v>HD</v>
          </cell>
          <cell r="M2752" t="str">
            <v>x</v>
          </cell>
          <cell r="N2752" t="e">
            <v>#N/A</v>
          </cell>
          <cell r="O2752" t="str">
            <v>Finned Vane Air Filter</v>
          </cell>
        </row>
        <row r="2753">
          <cell r="K2753" t="str">
            <v>LAF4451</v>
          </cell>
          <cell r="L2753" t="str">
            <v>HD</v>
          </cell>
          <cell r="M2753" t="str">
            <v>x</v>
          </cell>
          <cell r="N2753" t="e">
            <v>#N/A</v>
          </cell>
          <cell r="O2753" t="str">
            <v>Finned Vane Air Filter</v>
          </cell>
        </row>
        <row r="2754">
          <cell r="K2754" t="str">
            <v>LAF8985</v>
          </cell>
          <cell r="L2754" t="str">
            <v>HD</v>
          </cell>
          <cell r="M2754" t="str">
            <v>x</v>
          </cell>
          <cell r="N2754" t="e">
            <v>#N/A</v>
          </cell>
          <cell r="O2754" t="str">
            <v>Finned Vane Air Filter</v>
          </cell>
        </row>
        <row r="2755">
          <cell r="K2755" t="str">
            <v>LAF8528</v>
          </cell>
          <cell r="L2755" t="str">
            <v>HD</v>
          </cell>
          <cell r="M2755" t="str">
            <v>x</v>
          </cell>
          <cell r="N2755" t="e">
            <v>#N/A</v>
          </cell>
          <cell r="O2755" t="str">
            <v>Finned Vane Air Filter</v>
          </cell>
        </row>
        <row r="2756">
          <cell r="K2756" t="str">
            <v>LAF4356</v>
          </cell>
          <cell r="L2756" t="str">
            <v>HD</v>
          </cell>
          <cell r="M2756" t="str">
            <v>x</v>
          </cell>
          <cell r="N2756" t="e">
            <v>#N/A</v>
          </cell>
          <cell r="O2756" t="str">
            <v>Finned Vane Air Filter</v>
          </cell>
        </row>
        <row r="2757">
          <cell r="K2757" t="str">
            <v>LAF8675</v>
          </cell>
          <cell r="L2757" t="str">
            <v>HD</v>
          </cell>
          <cell r="M2757" t="str">
            <v>x</v>
          </cell>
          <cell r="N2757" t="e">
            <v>#N/A</v>
          </cell>
          <cell r="O2757" t="str">
            <v>Finned Vane Air Filter</v>
          </cell>
        </row>
        <row r="2758">
          <cell r="K2758" t="str">
            <v>LAF4280</v>
          </cell>
          <cell r="L2758" t="str">
            <v>HD</v>
          </cell>
          <cell r="M2758" t="str">
            <v>x</v>
          </cell>
          <cell r="N2758" t="e">
            <v>#N/A</v>
          </cell>
          <cell r="O2758" t="str">
            <v>Finned Vane Air Filter</v>
          </cell>
        </row>
        <row r="2759">
          <cell r="K2759" t="str">
            <v>LAF8517</v>
          </cell>
          <cell r="L2759" t="str">
            <v>HD</v>
          </cell>
          <cell r="M2759" t="str">
            <v>x</v>
          </cell>
          <cell r="N2759" t="e">
            <v>#N/A</v>
          </cell>
          <cell r="O2759" t="str">
            <v>Finned Vane Air Filter</v>
          </cell>
        </row>
        <row r="2760">
          <cell r="K2760" t="str">
            <v>LAF22081</v>
          </cell>
          <cell r="L2760" t="str">
            <v>HD</v>
          </cell>
          <cell r="M2760" t="str">
            <v>x</v>
          </cell>
          <cell r="N2760" t="e">
            <v>#N/A</v>
          </cell>
          <cell r="O2760" t="str">
            <v>Finned Vane Air Filter</v>
          </cell>
        </row>
        <row r="2761">
          <cell r="K2761" t="str">
            <v>LAF22037</v>
          </cell>
          <cell r="L2761" t="str">
            <v>HD</v>
          </cell>
          <cell r="M2761" t="str">
            <v>x</v>
          </cell>
          <cell r="N2761" t="e">
            <v>#N/A</v>
          </cell>
          <cell r="O2761" t="str">
            <v>Finned Vane Air Filter</v>
          </cell>
        </row>
        <row r="2762">
          <cell r="K2762" t="str">
            <v>LFW22138XL</v>
          </cell>
          <cell r="L2762" t="str">
            <v>HD</v>
          </cell>
          <cell r="M2762" t="str">
            <v>x</v>
          </cell>
          <cell r="N2762" t="e">
            <v>#N/A</v>
          </cell>
          <cell r="O2762" t="str">
            <v>Extended Life Spin-on Coolant Filter</v>
          </cell>
        </row>
        <row r="2763">
          <cell r="K2763" t="str">
            <v>LK343DXL</v>
          </cell>
          <cell r="L2763" t="str">
            <v>HD</v>
          </cell>
          <cell r="M2763" t="str">
            <v>x</v>
          </cell>
          <cell r="N2763" t="e">
            <v>#N/A</v>
          </cell>
          <cell r="O2763" t="str">
            <v>Extended Life Detroit Diesel Engine Maintenance Kit</v>
          </cell>
        </row>
        <row r="2764">
          <cell r="K2764" t="str">
            <v>LK286DXL</v>
          </cell>
          <cell r="L2764" t="str">
            <v>HD</v>
          </cell>
          <cell r="M2764" t="str">
            <v>x</v>
          </cell>
          <cell r="N2764" t="e">
            <v>#N/A</v>
          </cell>
          <cell r="O2764" t="str">
            <v>Extended Life Detroit Diesel Engine Maintenance Kit</v>
          </cell>
        </row>
        <row r="2765">
          <cell r="K2765" t="str">
            <v>LAF1671</v>
          </cell>
          <cell r="L2765" t="str">
            <v>HD</v>
          </cell>
          <cell r="M2765" t="str">
            <v>x</v>
          </cell>
          <cell r="N2765" t="e">
            <v>#N/A</v>
          </cell>
          <cell r="O2765" t="str">
            <v>Engine Crankcase Breather Element Air Filter</v>
          </cell>
        </row>
        <row r="2766">
          <cell r="K2766" t="str">
            <v>FW4C</v>
          </cell>
          <cell r="L2766" t="str">
            <v>HD</v>
          </cell>
          <cell r="M2766" t="str">
            <v>x</v>
          </cell>
          <cell r="N2766" t="e">
            <v>#N/A</v>
          </cell>
          <cell r="O2766" t="str">
            <v>End Cap Filter Removal Wrench for 14 flute 2.65" filters.</v>
          </cell>
        </row>
        <row r="2767">
          <cell r="K2767" t="str">
            <v>DCF9723</v>
          </cell>
          <cell r="L2767" t="str">
            <v>HD</v>
          </cell>
          <cell r="M2767" t="str">
            <v>x</v>
          </cell>
          <cell r="N2767" t="e">
            <v>#N/A</v>
          </cell>
          <cell r="O2767" t="str">
            <v>Dust Collection Filter</v>
          </cell>
        </row>
        <row r="2768">
          <cell r="K2768" t="str">
            <v>ZINC</v>
          </cell>
          <cell r="L2768" t="str">
            <v>HD</v>
          </cell>
          <cell r="M2768" t="str">
            <v>x</v>
          </cell>
          <cell r="N2768" t="e">
            <v>#N/A</v>
          </cell>
          <cell r="O2768" t="str">
            <v>Drain Plug/500-B, C, 750-B &amp; C, CT</v>
          </cell>
        </row>
        <row r="2769">
          <cell r="K2769" t="str">
            <v>DRAIN</v>
          </cell>
          <cell r="L2769" t="str">
            <v>HD</v>
          </cell>
          <cell r="M2769" t="str">
            <v>x</v>
          </cell>
          <cell r="N2769" t="e">
            <v>#N/A</v>
          </cell>
          <cell r="O2769" t="str">
            <v>DRAIN PLUG</v>
          </cell>
        </row>
        <row r="2770">
          <cell r="K2770" t="str">
            <v>4277</v>
          </cell>
          <cell r="L2770" t="str">
            <v>HD</v>
          </cell>
          <cell r="M2770" t="str">
            <v>x</v>
          </cell>
          <cell r="N2770" t="e">
            <v>#N/A</v>
          </cell>
          <cell r="O2770" t="str">
            <v>Drain Cock/F-170, F-170-W</v>
          </cell>
        </row>
        <row r="2771">
          <cell r="K2771">
            <v>2416</v>
          </cell>
          <cell r="L2771" t="str">
            <v>HD</v>
          </cell>
          <cell r="M2771" t="str">
            <v>x</v>
          </cell>
          <cell r="N2771" t="e">
            <v>#N/A</v>
          </cell>
          <cell r="O2771" t="str">
            <v>Drain Cock, 1/4" N.P.T./272-C, 363-C, F-120, 115, 170</v>
          </cell>
        </row>
        <row r="2772">
          <cell r="K2772" t="str">
            <v>F170</v>
          </cell>
          <cell r="L2772" t="str">
            <v>HD</v>
          </cell>
          <cell r="M2772" t="str">
            <v>x</v>
          </cell>
          <cell r="N2772" t="e">
            <v>#N/A</v>
          </cell>
          <cell r="O2772" t="str">
            <v>Double Head Casting (Cast Iron)/F-170-2</v>
          </cell>
        </row>
        <row r="2773">
          <cell r="K2773" t="str">
            <v>LAF22097</v>
          </cell>
          <cell r="L2773" t="str">
            <v>HD</v>
          </cell>
          <cell r="M2773" t="str">
            <v>x</v>
          </cell>
          <cell r="N2773" t="e">
            <v>#N/A</v>
          </cell>
          <cell r="O2773" t="str">
            <v>Disposible Housing Air Filter</v>
          </cell>
        </row>
        <row r="2774">
          <cell r="K2774" t="str">
            <v>LAF8732</v>
          </cell>
          <cell r="L2774" t="str">
            <v>HD</v>
          </cell>
          <cell r="M2774" t="str">
            <v>x</v>
          </cell>
          <cell r="N2774" t="e">
            <v>#N/A</v>
          </cell>
          <cell r="O2774" t="str">
            <v>Disposible Housing Air Filter</v>
          </cell>
        </row>
        <row r="2775">
          <cell r="K2775" t="str">
            <v>LAF8805</v>
          </cell>
          <cell r="L2775" t="str">
            <v>HD</v>
          </cell>
          <cell r="M2775" t="str">
            <v>x</v>
          </cell>
          <cell r="N2775" t="e">
            <v>#N/A</v>
          </cell>
          <cell r="O2775" t="str">
            <v>Disposible Housing Air Filter</v>
          </cell>
        </row>
        <row r="2776">
          <cell r="K2776" t="str">
            <v>LAF7456</v>
          </cell>
          <cell r="L2776" t="str">
            <v>HD</v>
          </cell>
          <cell r="M2776" t="str">
            <v>x</v>
          </cell>
          <cell r="N2776" t="e">
            <v>#N/A</v>
          </cell>
          <cell r="O2776" t="str">
            <v>Disposible Housing Air Filter</v>
          </cell>
        </row>
        <row r="2777">
          <cell r="K2777" t="str">
            <v>PKGD</v>
          </cell>
          <cell r="L2777" t="str">
            <v>HD</v>
          </cell>
          <cell r="M2777" t="str">
            <v>x</v>
          </cell>
          <cell r="N2777" t="e">
            <v>#N/A</v>
          </cell>
          <cell r="O2777" t="str">
            <v>Diesel Unit w/Wall Brakets w/Imperial Pak/750-3C</v>
          </cell>
        </row>
        <row r="2778">
          <cell r="K2778" t="str">
            <v>PKGD</v>
          </cell>
          <cell r="L2778" t="str">
            <v>HD</v>
          </cell>
          <cell r="M2778" t="str">
            <v>x</v>
          </cell>
          <cell r="N2778" t="e">
            <v>#N/A</v>
          </cell>
          <cell r="O2778" t="str">
            <v>Diesel Unit w/Wall Brackets w/Imperial Pak/750-2C</v>
          </cell>
        </row>
        <row r="2779">
          <cell r="K2779" t="str">
            <v>750CT</v>
          </cell>
          <cell r="L2779" t="str">
            <v>HD</v>
          </cell>
          <cell r="M2779" t="str">
            <v>x</v>
          </cell>
          <cell r="N2779" t="e">
            <v>#N/A</v>
          </cell>
          <cell r="O2779" t="str">
            <v>Diesel Unit Universal Mount 750-CT</v>
          </cell>
        </row>
        <row r="2780">
          <cell r="K2780" t="str">
            <v>3923B</v>
          </cell>
          <cell r="O2780" t="str">
            <v>Diesel Unit Universal Mount 750-CT</v>
          </cell>
        </row>
        <row r="2781">
          <cell r="K2781" t="str">
            <v>LK365D</v>
          </cell>
          <cell r="L2781" t="str">
            <v>HD</v>
          </cell>
          <cell r="M2781" t="str">
            <v>x</v>
          </cell>
          <cell r="N2781" t="e">
            <v>#N/A</v>
          </cell>
          <cell r="O2781" t="str">
            <v>Detroit Diesel Maintenance kit</v>
          </cell>
        </row>
        <row r="2782">
          <cell r="K2782" t="str">
            <v>LK238D</v>
          </cell>
          <cell r="L2782" t="str">
            <v>HD</v>
          </cell>
          <cell r="M2782" t="str">
            <v>x</v>
          </cell>
          <cell r="N2782" t="e">
            <v>#N/A</v>
          </cell>
          <cell r="O2782" t="str">
            <v>Detroit Diesel Engine Maintenance Kit</v>
          </cell>
        </row>
        <row r="2783">
          <cell r="K2783" t="str">
            <v>LK319DF</v>
          </cell>
          <cell r="L2783" t="str">
            <v>HD</v>
          </cell>
          <cell r="M2783" t="str">
            <v>x</v>
          </cell>
          <cell r="N2783" t="e">
            <v>#N/A</v>
          </cell>
          <cell r="O2783" t="str">
            <v>Detroit Diesel Engine Maintenance Kit</v>
          </cell>
        </row>
        <row r="2784">
          <cell r="K2784" t="str">
            <v>LK275D</v>
          </cell>
          <cell r="L2784" t="str">
            <v>HD</v>
          </cell>
          <cell r="M2784" t="str">
            <v>x</v>
          </cell>
          <cell r="N2784" t="e">
            <v>#N/A</v>
          </cell>
          <cell r="O2784" t="str">
            <v>Detroit Diesel Engine Maintenance Kit</v>
          </cell>
        </row>
        <row r="2785">
          <cell r="K2785" t="str">
            <v>LK325DF</v>
          </cell>
          <cell r="L2785" t="str">
            <v>HD</v>
          </cell>
          <cell r="M2785" t="str">
            <v>x</v>
          </cell>
          <cell r="N2785" t="e">
            <v>#N/A</v>
          </cell>
          <cell r="O2785" t="str">
            <v>Detroit Diesel Engine Maintenance Kit</v>
          </cell>
        </row>
        <row r="2786">
          <cell r="K2786" t="str">
            <v>LK316D</v>
          </cell>
          <cell r="L2786" t="str">
            <v>HD</v>
          </cell>
          <cell r="M2786" t="str">
            <v>x</v>
          </cell>
          <cell r="N2786" t="e">
            <v>#N/A</v>
          </cell>
          <cell r="O2786" t="str">
            <v>Detroit Diesel Engine Maintenance Kit</v>
          </cell>
        </row>
        <row r="2787">
          <cell r="K2787" t="str">
            <v>LK320DF</v>
          </cell>
          <cell r="L2787" t="str">
            <v>HD</v>
          </cell>
          <cell r="M2787" t="str">
            <v>x</v>
          </cell>
          <cell r="N2787" t="e">
            <v>#N/A</v>
          </cell>
          <cell r="O2787" t="str">
            <v>Detroit Diesel Engine Maintenance Kit</v>
          </cell>
        </row>
        <row r="2788">
          <cell r="K2788" t="str">
            <v>LK278D</v>
          </cell>
          <cell r="L2788" t="str">
            <v>HD</v>
          </cell>
          <cell r="M2788" t="str">
            <v>x</v>
          </cell>
          <cell r="N2788" t="e">
            <v>#N/A</v>
          </cell>
          <cell r="O2788" t="str">
            <v>Detroit Diesel Engine Maintenance Kit</v>
          </cell>
        </row>
        <row r="2789">
          <cell r="K2789" t="str">
            <v>LK166D</v>
          </cell>
          <cell r="L2789" t="str">
            <v>HD</v>
          </cell>
          <cell r="M2789" t="str">
            <v>x</v>
          </cell>
          <cell r="N2789" t="e">
            <v>#N/A</v>
          </cell>
          <cell r="O2789" t="str">
            <v>Detroit Diesel Engine Maintenance Kit</v>
          </cell>
        </row>
        <row r="2790">
          <cell r="K2790" t="str">
            <v>LK290D</v>
          </cell>
          <cell r="L2790" t="str">
            <v>HD</v>
          </cell>
          <cell r="M2790" t="str">
            <v>x</v>
          </cell>
          <cell r="N2790" t="e">
            <v>#N/A</v>
          </cell>
          <cell r="O2790" t="str">
            <v>Detroit Diesel Engine Maintenance Kit</v>
          </cell>
        </row>
        <row r="2791">
          <cell r="K2791" t="str">
            <v>LK164D</v>
          </cell>
          <cell r="L2791" t="str">
            <v>HD</v>
          </cell>
          <cell r="M2791" t="str">
            <v>x</v>
          </cell>
          <cell r="N2791" t="e">
            <v>#N/A</v>
          </cell>
          <cell r="O2791" t="str">
            <v>Detroit Diesel Engine Maintenance Kit</v>
          </cell>
        </row>
        <row r="2792">
          <cell r="K2792" t="str">
            <v>LK153D</v>
          </cell>
          <cell r="L2792" t="str">
            <v>HD</v>
          </cell>
          <cell r="M2792" t="str">
            <v>x</v>
          </cell>
          <cell r="N2792" t="e">
            <v>#N/A</v>
          </cell>
          <cell r="O2792" t="str">
            <v>Detroit Diesel Engine Maintenance Kit</v>
          </cell>
        </row>
        <row r="2793">
          <cell r="K2793" t="str">
            <v>LK277D</v>
          </cell>
          <cell r="L2793" t="str">
            <v>HD</v>
          </cell>
          <cell r="M2793" t="str">
            <v>x</v>
          </cell>
          <cell r="N2793" t="e">
            <v>#N/A</v>
          </cell>
          <cell r="O2793" t="str">
            <v>Detroit Diesel Engine Maintenance Kit</v>
          </cell>
        </row>
        <row r="2794">
          <cell r="K2794" t="str">
            <v>LK181D</v>
          </cell>
          <cell r="L2794" t="str">
            <v>HD</v>
          </cell>
          <cell r="M2794" t="str">
            <v>x</v>
          </cell>
          <cell r="N2794" t="e">
            <v>#N/A</v>
          </cell>
          <cell r="O2794" t="str">
            <v>Detroit Diesel Engine Maintenance Kit</v>
          </cell>
        </row>
        <row r="2795">
          <cell r="K2795" t="str">
            <v>LK154D</v>
          </cell>
          <cell r="L2795" t="str">
            <v>HD</v>
          </cell>
          <cell r="M2795" t="str">
            <v>x</v>
          </cell>
          <cell r="N2795" t="e">
            <v>#N/A</v>
          </cell>
          <cell r="O2795" t="str">
            <v>Detroit Diesel Engine Maintenance Kit</v>
          </cell>
        </row>
        <row r="2796">
          <cell r="K2796" t="str">
            <v>LK159D</v>
          </cell>
          <cell r="L2796" t="str">
            <v>HD</v>
          </cell>
          <cell r="M2796" t="str">
            <v>x</v>
          </cell>
          <cell r="N2796" t="e">
            <v>#N/A</v>
          </cell>
          <cell r="O2796" t="str">
            <v>Detroit Diesel Engine Maintenance Kit</v>
          </cell>
        </row>
        <row r="2797">
          <cell r="K2797" t="str">
            <v>LK179D</v>
          </cell>
          <cell r="L2797" t="str">
            <v>HD</v>
          </cell>
          <cell r="M2797" t="str">
            <v>x</v>
          </cell>
          <cell r="N2797" t="e">
            <v>#N/A</v>
          </cell>
          <cell r="O2797" t="str">
            <v>Detroit Diesel Engine Maintenance Kit</v>
          </cell>
        </row>
        <row r="2798">
          <cell r="K2798" t="str">
            <v>LK283D</v>
          </cell>
          <cell r="L2798" t="str">
            <v>HD</v>
          </cell>
          <cell r="M2798" t="str">
            <v>x</v>
          </cell>
          <cell r="N2798" t="e">
            <v>#N/A</v>
          </cell>
          <cell r="O2798" t="str">
            <v>Detroit Diesel Engine Maintenance Kit</v>
          </cell>
        </row>
        <row r="2799">
          <cell r="K2799" t="str">
            <v>LK184D</v>
          </cell>
          <cell r="L2799" t="str">
            <v>HD</v>
          </cell>
          <cell r="M2799" t="str">
            <v>x</v>
          </cell>
          <cell r="N2799" t="e">
            <v>#N/A</v>
          </cell>
          <cell r="O2799" t="str">
            <v>Detroit Diesel Engine Maintenance Kit</v>
          </cell>
        </row>
        <row r="2800">
          <cell r="K2800" t="str">
            <v>LABEL</v>
          </cell>
          <cell r="L2800" t="str">
            <v>HD</v>
          </cell>
          <cell r="M2800" t="str">
            <v>x</v>
          </cell>
          <cell r="N2800" t="e">
            <v>#N/A</v>
          </cell>
          <cell r="O2800" t="str">
            <v>Decal, Medium For All Models Except 750-2C, 3C</v>
          </cell>
        </row>
        <row r="2801">
          <cell r="K2801" t="str">
            <v>LABEL</v>
          </cell>
          <cell r="L2801" t="str">
            <v>HD</v>
          </cell>
          <cell r="M2801" t="str">
            <v>x</v>
          </cell>
          <cell r="N2801" t="e">
            <v>#N/A</v>
          </cell>
          <cell r="O2801" t="str">
            <v>Decal, Large/750-2C, 3C</v>
          </cell>
        </row>
        <row r="2802">
          <cell r="K2802" t="str">
            <v>LK84C</v>
          </cell>
          <cell r="L2802" t="str">
            <v>HD</v>
          </cell>
          <cell r="M2802" t="str">
            <v>x</v>
          </cell>
          <cell r="N2802" t="e">
            <v>#N/A</v>
          </cell>
          <cell r="O2802" t="str">
            <v>Cummins Engine Maintenance Kit</v>
          </cell>
        </row>
        <row r="2803">
          <cell r="K2803" t="str">
            <v>LK311DF</v>
          </cell>
          <cell r="L2803" t="str">
            <v>HD</v>
          </cell>
          <cell r="M2803" t="str">
            <v>x</v>
          </cell>
          <cell r="N2803" t="e">
            <v>#N/A</v>
          </cell>
          <cell r="O2803" t="str">
            <v>Cummins Engine Maintenance Kit</v>
          </cell>
        </row>
        <row r="2804">
          <cell r="K2804" t="str">
            <v>LK310DF</v>
          </cell>
          <cell r="L2804" t="str">
            <v>HD</v>
          </cell>
          <cell r="M2804" t="str">
            <v>x</v>
          </cell>
          <cell r="N2804" t="e">
            <v>#N/A</v>
          </cell>
          <cell r="O2804" t="str">
            <v>Cummins Engine Maintenance Kit</v>
          </cell>
        </row>
        <row r="2805">
          <cell r="K2805" t="str">
            <v>LK307C</v>
          </cell>
          <cell r="L2805" t="str">
            <v>HD</v>
          </cell>
          <cell r="M2805" t="str">
            <v>x</v>
          </cell>
          <cell r="N2805" t="e">
            <v>#N/A</v>
          </cell>
          <cell r="O2805" t="str">
            <v>Cummins Engine Maintenance Kit</v>
          </cell>
        </row>
        <row r="2806">
          <cell r="K2806" t="str">
            <v>LK312DF</v>
          </cell>
          <cell r="L2806" t="str">
            <v>HD</v>
          </cell>
          <cell r="M2806" t="str">
            <v>x</v>
          </cell>
          <cell r="N2806" t="e">
            <v>#N/A</v>
          </cell>
          <cell r="O2806" t="str">
            <v>Cummins Engine Maintenance Kit</v>
          </cell>
        </row>
        <row r="2807">
          <cell r="K2807" t="str">
            <v>LK337DF</v>
          </cell>
          <cell r="L2807" t="str">
            <v>HD</v>
          </cell>
          <cell r="M2807" t="str">
            <v>x</v>
          </cell>
          <cell r="N2807" t="e">
            <v>#N/A</v>
          </cell>
          <cell r="O2807" t="str">
            <v>Cummins Engine Maintenance Kit</v>
          </cell>
        </row>
        <row r="2808">
          <cell r="K2808" t="str">
            <v>LK313DF</v>
          </cell>
          <cell r="L2808" t="str">
            <v>HD</v>
          </cell>
          <cell r="M2808" t="str">
            <v>x</v>
          </cell>
          <cell r="N2808" t="e">
            <v>#N/A</v>
          </cell>
          <cell r="O2808" t="str">
            <v>Cummins Engine Maintenance Kit</v>
          </cell>
        </row>
        <row r="2809">
          <cell r="K2809" t="str">
            <v>LK252C</v>
          </cell>
          <cell r="L2809" t="str">
            <v>HD</v>
          </cell>
          <cell r="M2809" t="str">
            <v>x</v>
          </cell>
          <cell r="N2809" t="e">
            <v>#N/A</v>
          </cell>
          <cell r="O2809" t="str">
            <v>Cummins Engine Maintenance Kit</v>
          </cell>
        </row>
        <row r="2810">
          <cell r="K2810" t="str">
            <v>LK356DF</v>
          </cell>
          <cell r="L2810" t="str">
            <v>HD</v>
          </cell>
          <cell r="M2810" t="str">
            <v>x</v>
          </cell>
          <cell r="N2810" t="e">
            <v>#N/A</v>
          </cell>
          <cell r="O2810" t="str">
            <v>Cummins Engine Maintenance Kit</v>
          </cell>
        </row>
        <row r="2811">
          <cell r="K2811" t="str">
            <v>LK60C</v>
          </cell>
          <cell r="L2811" t="str">
            <v>HD</v>
          </cell>
          <cell r="M2811" t="str">
            <v>x</v>
          </cell>
          <cell r="N2811" t="e">
            <v>#N/A</v>
          </cell>
          <cell r="O2811" t="str">
            <v>Cummins Engine Maintenance Kit</v>
          </cell>
        </row>
        <row r="2812">
          <cell r="K2812" t="str">
            <v>LK202C</v>
          </cell>
          <cell r="L2812" t="str">
            <v>HD</v>
          </cell>
          <cell r="M2812" t="str">
            <v>x</v>
          </cell>
          <cell r="N2812" t="e">
            <v>#N/A</v>
          </cell>
          <cell r="O2812" t="str">
            <v>Cummins Engine Maintenance Kit</v>
          </cell>
        </row>
        <row r="2813">
          <cell r="K2813" t="str">
            <v>LK340C</v>
          </cell>
          <cell r="L2813" t="str">
            <v>HD</v>
          </cell>
          <cell r="M2813" t="str">
            <v>x</v>
          </cell>
          <cell r="N2813" t="e">
            <v>#N/A</v>
          </cell>
          <cell r="O2813" t="str">
            <v>Cummins Engine Maintenance Kit</v>
          </cell>
        </row>
        <row r="2814">
          <cell r="K2814" t="str">
            <v>LK354C</v>
          </cell>
          <cell r="L2814" t="str">
            <v>HD</v>
          </cell>
          <cell r="M2814" t="str">
            <v>x</v>
          </cell>
          <cell r="N2814" t="e">
            <v>#N/A</v>
          </cell>
          <cell r="O2814" t="str">
            <v>Cummins Engine Maintenance Kit</v>
          </cell>
        </row>
        <row r="2815">
          <cell r="K2815" t="str">
            <v>LK326DF</v>
          </cell>
          <cell r="L2815" t="str">
            <v>HD</v>
          </cell>
          <cell r="M2815" t="str">
            <v>x</v>
          </cell>
          <cell r="N2815" t="e">
            <v>#N/A</v>
          </cell>
          <cell r="O2815" t="str">
            <v>Cummins Engine Maintenance Kit</v>
          </cell>
        </row>
        <row r="2816">
          <cell r="K2816" t="str">
            <v>LK263C</v>
          </cell>
          <cell r="L2816" t="str">
            <v>HD</v>
          </cell>
          <cell r="M2816" t="str">
            <v>x</v>
          </cell>
          <cell r="N2816" t="e">
            <v>#N/A</v>
          </cell>
          <cell r="O2816" t="str">
            <v>Cummins Engine Maintenance Kit</v>
          </cell>
        </row>
        <row r="2817">
          <cell r="K2817" t="str">
            <v>LK299C</v>
          </cell>
          <cell r="L2817" t="str">
            <v>HD</v>
          </cell>
          <cell r="M2817" t="str">
            <v>x</v>
          </cell>
          <cell r="N2817" t="e">
            <v>#N/A</v>
          </cell>
          <cell r="O2817" t="str">
            <v>Cummins Engine Maintenance Kit</v>
          </cell>
        </row>
        <row r="2818">
          <cell r="K2818" t="str">
            <v>LK110C</v>
          </cell>
          <cell r="L2818" t="str">
            <v>HD</v>
          </cell>
          <cell r="M2818" t="str">
            <v>x</v>
          </cell>
          <cell r="N2818" t="e">
            <v>#N/A</v>
          </cell>
          <cell r="O2818" t="str">
            <v>Cummins Engine Maintenance Kit</v>
          </cell>
        </row>
        <row r="2819">
          <cell r="K2819" t="str">
            <v>LK256C</v>
          </cell>
          <cell r="L2819" t="str">
            <v>HD</v>
          </cell>
          <cell r="M2819" t="str">
            <v>x</v>
          </cell>
          <cell r="N2819" t="e">
            <v>#N/A</v>
          </cell>
          <cell r="O2819" t="str">
            <v>Cummins Engine Maintenance Kit</v>
          </cell>
        </row>
        <row r="2820">
          <cell r="K2820" t="str">
            <v>LK264C</v>
          </cell>
          <cell r="L2820" t="str">
            <v>HD</v>
          </cell>
          <cell r="M2820" t="str">
            <v>x</v>
          </cell>
          <cell r="N2820" t="e">
            <v>#N/A</v>
          </cell>
          <cell r="O2820" t="str">
            <v>Cummins Engine Maintenance Kit</v>
          </cell>
        </row>
        <row r="2821">
          <cell r="K2821" t="str">
            <v>LK247C</v>
          </cell>
          <cell r="L2821" t="str">
            <v>HD</v>
          </cell>
          <cell r="M2821" t="str">
            <v>x</v>
          </cell>
          <cell r="N2821" t="e">
            <v>#N/A</v>
          </cell>
          <cell r="O2821" t="str">
            <v>Cummins Engine Maintenance Kit</v>
          </cell>
        </row>
        <row r="2822">
          <cell r="K2822" t="str">
            <v>LK258C</v>
          </cell>
          <cell r="L2822" t="str">
            <v>HD</v>
          </cell>
          <cell r="M2822" t="str">
            <v>x</v>
          </cell>
          <cell r="N2822" t="e">
            <v>#N/A</v>
          </cell>
          <cell r="O2822" t="str">
            <v>Cummins Engine Maintenance Kit</v>
          </cell>
        </row>
        <row r="2823">
          <cell r="K2823" t="str">
            <v>LK243C</v>
          </cell>
          <cell r="L2823" t="str">
            <v>HD</v>
          </cell>
          <cell r="M2823" t="str">
            <v>x</v>
          </cell>
          <cell r="N2823" t="e">
            <v>#N/A</v>
          </cell>
          <cell r="O2823" t="str">
            <v>Cummins Engine Maintenance Kit</v>
          </cell>
        </row>
        <row r="2824">
          <cell r="K2824" t="str">
            <v>LK69C</v>
          </cell>
          <cell r="L2824" t="str">
            <v>HD</v>
          </cell>
          <cell r="M2824" t="str">
            <v>x</v>
          </cell>
          <cell r="N2824" t="e">
            <v>#N/A</v>
          </cell>
          <cell r="O2824" t="str">
            <v>Cummins Engine Maintenance Kit</v>
          </cell>
        </row>
        <row r="2825">
          <cell r="K2825" t="str">
            <v>LK369C</v>
          </cell>
          <cell r="L2825" t="str">
            <v>HD</v>
          </cell>
          <cell r="M2825" t="str">
            <v>x</v>
          </cell>
          <cell r="N2825" t="e">
            <v>#N/A</v>
          </cell>
          <cell r="O2825" t="str">
            <v>Cummin Maintenance Kit</v>
          </cell>
        </row>
        <row r="2826">
          <cell r="K2826">
            <v>970</v>
          </cell>
          <cell r="L2826" t="str">
            <v>HD</v>
          </cell>
          <cell r="M2826" t="str">
            <v>x</v>
          </cell>
          <cell r="N2826" t="e">
            <v>#N/A</v>
          </cell>
          <cell r="O2826" t="str">
            <v>Cover/970-C</v>
          </cell>
        </row>
        <row r="2827">
          <cell r="K2827" t="str">
            <v>COVER</v>
          </cell>
          <cell r="L2827" t="str">
            <v>HD</v>
          </cell>
          <cell r="M2827" t="str">
            <v>x</v>
          </cell>
          <cell r="N2827" t="e">
            <v>#N/A</v>
          </cell>
          <cell r="O2827" t="str">
            <v>Cover w/3 Plugs Holes for Horizontal Mount/272-C, 363-C</v>
          </cell>
        </row>
        <row r="2828">
          <cell r="K2828" t="str">
            <v>750</v>
          </cell>
          <cell r="L2828" t="str">
            <v>HD</v>
          </cell>
          <cell r="M2828" t="str">
            <v>x</v>
          </cell>
          <cell r="N2828" t="e">
            <v>#N/A</v>
          </cell>
          <cell r="O2828" t="str">
            <v>Cover w/3 Plug Holes for Horizontal  Mount, Black/750-C</v>
          </cell>
        </row>
        <row r="2829">
          <cell r="K2829" t="str">
            <v>272</v>
          </cell>
          <cell r="L2829" t="str">
            <v>HD</v>
          </cell>
          <cell r="M2829" t="str">
            <v>x</v>
          </cell>
          <cell r="N2829" t="e">
            <v>#N/A</v>
          </cell>
          <cell r="O2829" t="str">
            <v>Cover w/1 Plug Hole 272C, 363C</v>
          </cell>
        </row>
        <row r="2830">
          <cell r="K2830">
            <v>1867</v>
          </cell>
          <cell r="L2830" t="str">
            <v>HD</v>
          </cell>
          <cell r="M2830" t="str">
            <v>x</v>
          </cell>
          <cell r="N2830" t="e">
            <v>#N/A</v>
          </cell>
          <cell r="O2830" t="str">
            <v>Cover Gasket/78, 135-S, 200-S</v>
          </cell>
        </row>
        <row r="2831">
          <cell r="K2831" t="str">
            <v>GASKET</v>
          </cell>
          <cell r="L2831" t="str">
            <v>HD</v>
          </cell>
          <cell r="M2831" t="str">
            <v>x</v>
          </cell>
          <cell r="N2831" t="e">
            <v>#N/A</v>
          </cell>
          <cell r="O2831" t="str">
            <v>Cover Gasket, Flat 10 hole/300-S</v>
          </cell>
        </row>
        <row r="2832">
          <cell r="K2832">
            <v>3654</v>
          </cell>
          <cell r="L2832" t="str">
            <v>HD</v>
          </cell>
          <cell r="M2832" t="str">
            <v>x</v>
          </cell>
          <cell r="N2832" t="e">
            <v>#N/A</v>
          </cell>
          <cell r="O2832" t="str">
            <v>Cover Gasket for 3652 Element Filter</v>
          </cell>
        </row>
        <row r="2833">
          <cell r="K2833" t="str">
            <v>LCTK-C2</v>
          </cell>
          <cell r="L2833" t="str">
            <v>HD</v>
          </cell>
          <cell r="M2833" t="str">
            <v>x</v>
          </cell>
          <cell r="N2833" t="e">
            <v>#N/A</v>
          </cell>
          <cell r="O2833" t="str">
            <v>Coolant Analysis Test Kit</v>
          </cell>
        </row>
        <row r="2834">
          <cell r="K2834" t="str">
            <v>LCTK10</v>
          </cell>
          <cell r="L2834" t="str">
            <v>HD</v>
          </cell>
          <cell r="M2834" t="str">
            <v>x</v>
          </cell>
          <cell r="N2834" t="e">
            <v>#N/A</v>
          </cell>
          <cell r="O2834" t="str">
            <v>Coolant Analysis Test Kit</v>
          </cell>
        </row>
        <row r="2835">
          <cell r="K2835" t="str">
            <v>LAF3931</v>
          </cell>
          <cell r="L2835" t="str">
            <v>HD</v>
          </cell>
          <cell r="M2835" t="str">
            <v>x</v>
          </cell>
          <cell r="N2835" t="e">
            <v>#N/A</v>
          </cell>
          <cell r="O2835" t="str">
            <v>Cone Shaped Conical Air Filter</v>
          </cell>
        </row>
        <row r="2836">
          <cell r="K2836" t="str">
            <v>LAF1758</v>
          </cell>
          <cell r="L2836" t="str">
            <v>HD</v>
          </cell>
          <cell r="M2836" t="str">
            <v>x</v>
          </cell>
          <cell r="N2836" t="e">
            <v>#N/A</v>
          </cell>
          <cell r="O2836" t="str">
            <v>Cone Shaped Conical Air Filter</v>
          </cell>
        </row>
        <row r="2837">
          <cell r="K2837" t="str">
            <v>LAF8624</v>
          </cell>
          <cell r="L2837" t="str">
            <v>HD</v>
          </cell>
          <cell r="M2837" t="str">
            <v>x</v>
          </cell>
          <cell r="N2837" t="e">
            <v>#N/A</v>
          </cell>
          <cell r="O2837" t="str">
            <v>Cone Shaped Air Filter With Attached Lid</v>
          </cell>
        </row>
        <row r="2838">
          <cell r="K2838" t="str">
            <v>LAF1739</v>
          </cell>
          <cell r="L2838" t="str">
            <v>HD</v>
          </cell>
          <cell r="M2838" t="str">
            <v>x</v>
          </cell>
          <cell r="N2838" t="e">
            <v>#N/A</v>
          </cell>
          <cell r="O2838" t="str">
            <v>Cone Shaped Air Filter With Attached Lid</v>
          </cell>
        </row>
        <row r="2839">
          <cell r="K2839" t="str">
            <v>750CT</v>
          </cell>
          <cell r="L2839" t="str">
            <v>HD</v>
          </cell>
          <cell r="M2839" t="str">
            <v>x</v>
          </cell>
          <cell r="N2839" t="e">
            <v>#N/A</v>
          </cell>
          <cell r="O2839" t="str">
            <v>Complete gray filter unit with with 1 hole lid , 1</v>
          </cell>
        </row>
        <row r="2840">
          <cell r="K2840" t="str">
            <v>LFP3200K</v>
          </cell>
          <cell r="L2840" t="str">
            <v>HD</v>
          </cell>
          <cell r="M2840" t="str">
            <v>x</v>
          </cell>
          <cell r="N2840" t="e">
            <v>#N/A</v>
          </cell>
          <cell r="O2840" t="str">
            <v>Coalescer Fuel Filter and Mounting Base</v>
          </cell>
        </row>
        <row r="2841">
          <cell r="K2841" t="str">
            <v>CLAMP</v>
          </cell>
          <cell r="L2841" t="str">
            <v>HD</v>
          </cell>
          <cell r="M2841" t="str">
            <v>x</v>
          </cell>
          <cell r="N2841" t="e">
            <v>#N/A</v>
          </cell>
          <cell r="O2841" t="str">
            <v>Clamping Ring Assembly, 2 Piece/272-C, 363-C</v>
          </cell>
        </row>
        <row r="2842">
          <cell r="K2842" t="str">
            <v>CENTER</v>
          </cell>
          <cell r="L2842" t="str">
            <v>HD</v>
          </cell>
          <cell r="M2842" t="str">
            <v>x</v>
          </cell>
          <cell r="N2842" t="e">
            <v>#N/A</v>
          </cell>
          <cell r="O2842" t="str">
            <v>Center Post/F-170, F-170-2, F-170-W</v>
          </cell>
        </row>
        <row r="2843">
          <cell r="K2843" t="str">
            <v>LK255CA</v>
          </cell>
          <cell r="L2843" t="str">
            <v>HD</v>
          </cell>
          <cell r="M2843" t="str">
            <v>x</v>
          </cell>
          <cell r="N2843" t="e">
            <v>#N/A</v>
          </cell>
          <cell r="O2843" t="str">
            <v>Caterpillar Engine Maintenance Kit</v>
          </cell>
        </row>
        <row r="2844">
          <cell r="K2844" t="str">
            <v>LK54CA</v>
          </cell>
          <cell r="L2844" t="str">
            <v>HD</v>
          </cell>
          <cell r="M2844" t="str">
            <v>x</v>
          </cell>
          <cell r="N2844" t="e">
            <v>#N/A</v>
          </cell>
          <cell r="O2844" t="str">
            <v>Caterpillar Engine Maintenance Kit</v>
          </cell>
        </row>
        <row r="2845">
          <cell r="K2845" t="str">
            <v>LK304CA</v>
          </cell>
          <cell r="L2845" t="str">
            <v>HD</v>
          </cell>
          <cell r="M2845" t="str">
            <v>x</v>
          </cell>
          <cell r="N2845" t="e">
            <v>#N/A</v>
          </cell>
          <cell r="O2845" t="str">
            <v>Caterpillar Engine Maintenance Kit</v>
          </cell>
        </row>
        <row r="2846">
          <cell r="K2846" t="str">
            <v>LK160CA</v>
          </cell>
          <cell r="L2846" t="str">
            <v>HD</v>
          </cell>
          <cell r="M2846" t="str">
            <v>x</v>
          </cell>
          <cell r="N2846" t="e">
            <v>#N/A</v>
          </cell>
          <cell r="O2846" t="str">
            <v>Caterpillar Engine Maintenance Kit</v>
          </cell>
        </row>
        <row r="2847">
          <cell r="K2847" t="str">
            <v>LK280CA</v>
          </cell>
          <cell r="L2847" t="str">
            <v>HD</v>
          </cell>
          <cell r="M2847" t="str">
            <v>x</v>
          </cell>
          <cell r="N2847" t="e">
            <v>#N/A</v>
          </cell>
          <cell r="O2847" t="str">
            <v>Caterpillar Engine Maintenance Kit</v>
          </cell>
        </row>
        <row r="2848">
          <cell r="K2848" t="str">
            <v>LK284CA</v>
          </cell>
          <cell r="L2848" t="str">
            <v>HD</v>
          </cell>
          <cell r="M2848" t="str">
            <v>x</v>
          </cell>
          <cell r="N2848" t="e">
            <v>#N/A</v>
          </cell>
          <cell r="O2848" t="str">
            <v>Caterpillar Engine Maintenance Kit</v>
          </cell>
        </row>
        <row r="2849">
          <cell r="K2849" t="str">
            <v>LK96CA</v>
          </cell>
          <cell r="L2849" t="str">
            <v>HD</v>
          </cell>
          <cell r="M2849" t="str">
            <v>x</v>
          </cell>
          <cell r="N2849" t="e">
            <v>#N/A</v>
          </cell>
          <cell r="O2849" t="str">
            <v>Caterpillar Engine Maintenance Kit</v>
          </cell>
        </row>
        <row r="2850">
          <cell r="K2850" t="str">
            <v>LK352CA</v>
          </cell>
          <cell r="L2850" t="str">
            <v>HD</v>
          </cell>
          <cell r="M2850" t="str">
            <v>x</v>
          </cell>
          <cell r="N2850" t="e">
            <v>#N/A</v>
          </cell>
          <cell r="O2850" t="str">
            <v>Caterpillar Engine Maintenance Kit</v>
          </cell>
        </row>
        <row r="2851">
          <cell r="K2851" t="str">
            <v>LK361CA</v>
          </cell>
          <cell r="L2851" t="str">
            <v>HD</v>
          </cell>
          <cell r="M2851" t="str">
            <v>x</v>
          </cell>
          <cell r="N2851" t="e">
            <v>#N/A</v>
          </cell>
          <cell r="O2851" t="str">
            <v>Caterpillar Engine Maintenance Kit</v>
          </cell>
        </row>
        <row r="2852">
          <cell r="K2852" t="str">
            <v>LP970-25</v>
          </cell>
          <cell r="L2852" t="str">
            <v>HD</v>
          </cell>
          <cell r="M2852" t="str">
            <v>x</v>
          </cell>
          <cell r="N2852" t="e">
            <v>#N/A</v>
          </cell>
          <cell r="O2852" t="str">
            <v>Cartridge Oil Filter</v>
          </cell>
        </row>
        <row r="2853">
          <cell r="K2853" t="str">
            <v>LP2220Z</v>
          </cell>
          <cell r="L2853" t="str">
            <v>HD</v>
          </cell>
          <cell r="M2853" t="str">
            <v>x</v>
          </cell>
          <cell r="N2853" t="e">
            <v>#N/A</v>
          </cell>
          <cell r="O2853" t="str">
            <v>Cartridge Oil Filter</v>
          </cell>
        </row>
        <row r="2854">
          <cell r="K2854" t="str">
            <v>LP8107</v>
          </cell>
          <cell r="L2854" t="str">
            <v>HD</v>
          </cell>
          <cell r="M2854" t="str">
            <v>x</v>
          </cell>
          <cell r="N2854" t="e">
            <v>#N/A</v>
          </cell>
          <cell r="O2854" t="str">
            <v>Cartridge Oil Filter</v>
          </cell>
        </row>
        <row r="2855">
          <cell r="K2855" t="str">
            <v>LP2266</v>
          </cell>
          <cell r="L2855" t="str">
            <v>HD</v>
          </cell>
          <cell r="M2855" t="str">
            <v>x</v>
          </cell>
          <cell r="N2855" t="e">
            <v>#N/A</v>
          </cell>
          <cell r="O2855" t="str">
            <v>Cartridge Oil Filter</v>
          </cell>
        </row>
        <row r="2856">
          <cell r="K2856" t="str">
            <v>LP112</v>
          </cell>
          <cell r="L2856" t="str">
            <v>HD</v>
          </cell>
          <cell r="M2856" t="str">
            <v>x</v>
          </cell>
          <cell r="N2856" t="e">
            <v>#N/A</v>
          </cell>
          <cell r="O2856" t="str">
            <v>Cartridge Oil Filter</v>
          </cell>
        </row>
        <row r="2857">
          <cell r="K2857" t="str">
            <v>LP5578</v>
          </cell>
          <cell r="L2857" t="str">
            <v>HD</v>
          </cell>
          <cell r="M2857" t="str">
            <v>x</v>
          </cell>
          <cell r="N2857" t="e">
            <v>#N/A</v>
          </cell>
          <cell r="O2857" t="str">
            <v>Cartridge Oil Filter</v>
          </cell>
        </row>
        <row r="2858">
          <cell r="K2858" t="str">
            <v>LP5900</v>
          </cell>
          <cell r="L2858" t="str">
            <v>HD</v>
          </cell>
          <cell r="M2858" t="str">
            <v>x</v>
          </cell>
          <cell r="N2858" t="e">
            <v>#N/A</v>
          </cell>
          <cell r="O2858" t="str">
            <v>Cartridge Oil Filter</v>
          </cell>
        </row>
        <row r="2859">
          <cell r="K2859" t="str">
            <v>LP1138</v>
          </cell>
          <cell r="L2859" t="str">
            <v>HD</v>
          </cell>
          <cell r="M2859" t="str">
            <v>x</v>
          </cell>
          <cell r="N2859" t="e">
            <v>#N/A</v>
          </cell>
          <cell r="O2859" t="str">
            <v>Cartridge Oil Filter</v>
          </cell>
        </row>
        <row r="2860">
          <cell r="K2860" t="str">
            <v>LP8556</v>
          </cell>
          <cell r="L2860" t="str">
            <v>HD</v>
          </cell>
          <cell r="M2860" t="str">
            <v>x</v>
          </cell>
          <cell r="N2860" t="e">
            <v>#N/A</v>
          </cell>
          <cell r="O2860" t="str">
            <v>Cartridge Oil Filter</v>
          </cell>
        </row>
        <row r="2861">
          <cell r="K2861" t="str">
            <v>LP7518</v>
          </cell>
          <cell r="L2861" t="str">
            <v>HD</v>
          </cell>
          <cell r="M2861" t="str">
            <v>x</v>
          </cell>
          <cell r="N2861" t="e">
            <v>#N/A</v>
          </cell>
          <cell r="O2861" t="str">
            <v>Cartridge Oil Filter</v>
          </cell>
        </row>
        <row r="2862">
          <cell r="K2862" t="str">
            <v>LP8317</v>
          </cell>
          <cell r="L2862" t="str">
            <v>HD</v>
          </cell>
          <cell r="M2862" t="str">
            <v>x</v>
          </cell>
          <cell r="N2862" t="e">
            <v>#N/A</v>
          </cell>
          <cell r="O2862" t="str">
            <v>Cartridge Oil Filter</v>
          </cell>
        </row>
        <row r="2863">
          <cell r="K2863" t="str">
            <v>LP5043</v>
          </cell>
          <cell r="L2863" t="str">
            <v>HD</v>
          </cell>
          <cell r="M2863" t="str">
            <v>x</v>
          </cell>
          <cell r="N2863" t="e">
            <v>#N/A</v>
          </cell>
          <cell r="O2863" t="str">
            <v>Cartridge Oil Filter</v>
          </cell>
        </row>
        <row r="2864">
          <cell r="K2864" t="str">
            <v>LP8941</v>
          </cell>
          <cell r="L2864" t="str">
            <v>HD</v>
          </cell>
          <cell r="M2864" t="str">
            <v>x</v>
          </cell>
          <cell r="N2864" t="e">
            <v>#N/A</v>
          </cell>
          <cell r="O2864" t="str">
            <v>Cartridge Oil Filter</v>
          </cell>
        </row>
        <row r="2865">
          <cell r="K2865" t="str">
            <v>LP8106</v>
          </cell>
          <cell r="L2865" t="str">
            <v>HD</v>
          </cell>
          <cell r="M2865" t="str">
            <v>x</v>
          </cell>
          <cell r="N2865" t="e">
            <v>#N/A</v>
          </cell>
          <cell r="O2865" t="str">
            <v>Cartridge Oil Filter</v>
          </cell>
        </row>
        <row r="2866">
          <cell r="K2866" t="str">
            <v>LP5903</v>
          </cell>
          <cell r="L2866" t="str">
            <v>HD</v>
          </cell>
          <cell r="M2866" t="str">
            <v>x</v>
          </cell>
          <cell r="N2866" t="e">
            <v>#N/A</v>
          </cell>
          <cell r="O2866" t="str">
            <v>Cartridge Oil Filter</v>
          </cell>
        </row>
        <row r="2867">
          <cell r="K2867" t="str">
            <v>LP5952</v>
          </cell>
          <cell r="L2867" t="str">
            <v>HD</v>
          </cell>
          <cell r="M2867" t="str">
            <v>x</v>
          </cell>
          <cell r="N2867" t="e">
            <v>#N/A</v>
          </cell>
          <cell r="O2867" t="str">
            <v>Cartridge Oil Filter</v>
          </cell>
        </row>
        <row r="2868">
          <cell r="K2868" t="str">
            <v>LP8912</v>
          </cell>
          <cell r="L2868" t="str">
            <v>HD</v>
          </cell>
          <cell r="M2868" t="str">
            <v>x</v>
          </cell>
          <cell r="N2868" t="e">
            <v>#N/A</v>
          </cell>
          <cell r="O2868" t="str">
            <v>Cartridge Oil Filter</v>
          </cell>
        </row>
        <row r="2869">
          <cell r="K2869" t="str">
            <v>LP8723</v>
          </cell>
          <cell r="L2869" t="str">
            <v>HD</v>
          </cell>
          <cell r="M2869" t="str">
            <v>x</v>
          </cell>
          <cell r="N2869" t="e">
            <v>#N/A</v>
          </cell>
          <cell r="O2869" t="str">
            <v>Cartridge Oil Filter</v>
          </cell>
        </row>
        <row r="2870">
          <cell r="K2870" t="str">
            <v>LP8511</v>
          </cell>
          <cell r="L2870" t="str">
            <v>HD</v>
          </cell>
          <cell r="M2870" t="str">
            <v>x</v>
          </cell>
          <cell r="N2870" t="e">
            <v>#N/A</v>
          </cell>
          <cell r="O2870" t="str">
            <v>Cartridge Oil Filter</v>
          </cell>
        </row>
        <row r="2871">
          <cell r="K2871" t="str">
            <v>LP2218</v>
          </cell>
          <cell r="L2871" t="str">
            <v>HD</v>
          </cell>
          <cell r="M2871" t="str">
            <v>x</v>
          </cell>
          <cell r="N2871" t="e">
            <v>#N/A</v>
          </cell>
          <cell r="O2871" t="str">
            <v>Cartridge Oil Filter</v>
          </cell>
        </row>
        <row r="2872">
          <cell r="K2872" t="str">
            <v>LP8346</v>
          </cell>
          <cell r="L2872" t="str">
            <v>HD</v>
          </cell>
          <cell r="M2872" t="str">
            <v>x</v>
          </cell>
          <cell r="N2872" t="e">
            <v>#N/A</v>
          </cell>
          <cell r="O2872" t="str">
            <v>Cartridge Oil Filter</v>
          </cell>
        </row>
        <row r="2873">
          <cell r="K2873" t="str">
            <v>LP8347</v>
          </cell>
          <cell r="L2873" t="str">
            <v>HD</v>
          </cell>
          <cell r="M2873" t="str">
            <v>x</v>
          </cell>
          <cell r="N2873" t="e">
            <v>#N/A</v>
          </cell>
          <cell r="O2873" t="str">
            <v>Cartridge Oil Filter</v>
          </cell>
        </row>
        <row r="2874">
          <cell r="K2874" t="str">
            <v>LP8724</v>
          </cell>
          <cell r="L2874" t="str">
            <v>HD</v>
          </cell>
          <cell r="M2874" t="str">
            <v>x</v>
          </cell>
          <cell r="N2874" t="e">
            <v>#N/A</v>
          </cell>
          <cell r="O2874" t="str">
            <v>Cartridge Oil Filter</v>
          </cell>
        </row>
        <row r="2875">
          <cell r="K2875" t="str">
            <v>LP8467</v>
          </cell>
          <cell r="L2875" t="str">
            <v>HD</v>
          </cell>
          <cell r="M2875" t="str">
            <v>x</v>
          </cell>
          <cell r="N2875" t="e">
            <v>#N/A</v>
          </cell>
          <cell r="O2875" t="str">
            <v>Cartridge Oil Filter</v>
          </cell>
        </row>
        <row r="2876">
          <cell r="K2876" t="str">
            <v>LP2214N</v>
          </cell>
          <cell r="L2876" t="str">
            <v>HD</v>
          </cell>
          <cell r="M2876" t="str">
            <v>x</v>
          </cell>
          <cell r="N2876" t="e">
            <v>#N/A</v>
          </cell>
          <cell r="O2876" t="str">
            <v>Cartridge Oil Filter</v>
          </cell>
        </row>
        <row r="2877">
          <cell r="K2877" t="str">
            <v>LP4413</v>
          </cell>
          <cell r="L2877" t="str">
            <v>HD</v>
          </cell>
          <cell r="M2877" t="str">
            <v>x</v>
          </cell>
          <cell r="N2877" t="e">
            <v>#N/A</v>
          </cell>
          <cell r="O2877" t="str">
            <v>Cartridge Oil Filter</v>
          </cell>
        </row>
        <row r="2878">
          <cell r="K2878" t="str">
            <v>LP3362</v>
          </cell>
          <cell r="L2878" t="str">
            <v>HD</v>
          </cell>
          <cell r="M2878" t="str">
            <v>x</v>
          </cell>
          <cell r="N2878" t="e">
            <v>#N/A</v>
          </cell>
          <cell r="O2878" t="str">
            <v>Cartridge Oil Filter</v>
          </cell>
        </row>
        <row r="2879">
          <cell r="K2879" t="str">
            <v>LP4460</v>
          </cell>
          <cell r="L2879" t="str">
            <v>HD</v>
          </cell>
          <cell r="M2879" t="str">
            <v>x</v>
          </cell>
          <cell r="N2879" t="e">
            <v>#N/A</v>
          </cell>
          <cell r="O2879" t="str">
            <v>Cartridge Oil Filter</v>
          </cell>
        </row>
        <row r="2880">
          <cell r="K2880" t="str">
            <v>LP4452</v>
          </cell>
          <cell r="L2880" t="str">
            <v>HD</v>
          </cell>
          <cell r="M2880" t="str">
            <v>x</v>
          </cell>
          <cell r="N2880" t="e">
            <v>#N/A</v>
          </cell>
          <cell r="O2880" t="str">
            <v>Cartridge Oil Filter</v>
          </cell>
        </row>
        <row r="2881">
          <cell r="K2881" t="str">
            <v>LP2328</v>
          </cell>
          <cell r="L2881" t="str">
            <v>HD</v>
          </cell>
          <cell r="M2881" t="str">
            <v>x</v>
          </cell>
          <cell r="N2881" t="e">
            <v>#N/A</v>
          </cell>
          <cell r="O2881" t="str">
            <v>Cartridge Oil Filter</v>
          </cell>
        </row>
        <row r="2882">
          <cell r="K2882" t="str">
            <v>LP798</v>
          </cell>
          <cell r="L2882" t="str">
            <v>HD</v>
          </cell>
          <cell r="M2882" t="str">
            <v>x</v>
          </cell>
          <cell r="N2882" t="e">
            <v>#N/A</v>
          </cell>
          <cell r="O2882" t="str">
            <v>Cartridge Oil Filter</v>
          </cell>
        </row>
        <row r="2883">
          <cell r="K2883" t="str">
            <v>LP614</v>
          </cell>
          <cell r="L2883" t="str">
            <v>HD</v>
          </cell>
          <cell r="M2883" t="str">
            <v>x</v>
          </cell>
          <cell r="N2883" t="e">
            <v>#N/A</v>
          </cell>
          <cell r="O2883" t="str">
            <v>Cartridge Oil Filter</v>
          </cell>
        </row>
        <row r="2884">
          <cell r="K2884" t="str">
            <v>LP5777</v>
          </cell>
          <cell r="L2884" t="str">
            <v>HD</v>
          </cell>
          <cell r="M2884" t="str">
            <v>x</v>
          </cell>
          <cell r="N2884" t="e">
            <v>#N/A</v>
          </cell>
          <cell r="O2884" t="str">
            <v>Cartridge Oil Filter</v>
          </cell>
        </row>
        <row r="2885">
          <cell r="K2885" t="str">
            <v>LP8334</v>
          </cell>
          <cell r="L2885" t="str">
            <v>HD</v>
          </cell>
          <cell r="M2885" t="str">
            <v>x</v>
          </cell>
          <cell r="N2885" t="e">
            <v>#N/A</v>
          </cell>
          <cell r="O2885" t="str">
            <v>Cartridge Oil Filter</v>
          </cell>
        </row>
        <row r="2886">
          <cell r="K2886" t="str">
            <v>LH4430</v>
          </cell>
          <cell r="L2886" t="str">
            <v>HD</v>
          </cell>
          <cell r="M2886" t="str">
            <v>x</v>
          </cell>
          <cell r="N2886" t="e">
            <v>#N/A</v>
          </cell>
          <cell r="O2886" t="str">
            <v>Cartridge Hydraulic Filter</v>
          </cell>
        </row>
        <row r="2887">
          <cell r="K2887" t="str">
            <v>LH4969</v>
          </cell>
          <cell r="L2887" t="str">
            <v>HD</v>
          </cell>
          <cell r="M2887" t="str">
            <v>x</v>
          </cell>
          <cell r="N2887" t="e">
            <v>#N/A</v>
          </cell>
          <cell r="O2887" t="str">
            <v>Cartridge Hydraulic Filter</v>
          </cell>
        </row>
        <row r="2888">
          <cell r="K2888" t="str">
            <v>LH4253</v>
          </cell>
          <cell r="L2888" t="str">
            <v>HD</v>
          </cell>
          <cell r="M2888" t="str">
            <v>x</v>
          </cell>
          <cell r="N2888" t="e">
            <v>#N/A</v>
          </cell>
          <cell r="O2888" t="str">
            <v>Cartridge Hydraulic Filter</v>
          </cell>
        </row>
        <row r="2889">
          <cell r="K2889" t="str">
            <v>LH22151</v>
          </cell>
          <cell r="L2889" t="str">
            <v>HD</v>
          </cell>
          <cell r="M2889" t="str">
            <v>x</v>
          </cell>
          <cell r="N2889" t="e">
            <v>#N/A</v>
          </cell>
          <cell r="O2889" t="str">
            <v>Cartridge Hydraulic Filter</v>
          </cell>
        </row>
        <row r="2890">
          <cell r="K2890" t="str">
            <v>LH6489</v>
          </cell>
          <cell r="L2890" t="str">
            <v>HD</v>
          </cell>
          <cell r="M2890" t="str">
            <v>x</v>
          </cell>
          <cell r="N2890" t="e">
            <v>#N/A</v>
          </cell>
          <cell r="O2890" t="str">
            <v>Cartridge Hydraulic Filter</v>
          </cell>
        </row>
        <row r="2891">
          <cell r="K2891" t="str">
            <v>LH4999</v>
          </cell>
          <cell r="L2891" t="str">
            <v>HD</v>
          </cell>
          <cell r="M2891" t="str">
            <v>x</v>
          </cell>
          <cell r="N2891" t="e">
            <v>#N/A</v>
          </cell>
          <cell r="O2891" t="str">
            <v>Cartridge Hydraulic Filter</v>
          </cell>
        </row>
        <row r="2892">
          <cell r="K2892" t="str">
            <v>LH8522</v>
          </cell>
          <cell r="L2892" t="str">
            <v>HD</v>
          </cell>
          <cell r="M2892" t="str">
            <v>x</v>
          </cell>
          <cell r="N2892" t="e">
            <v>#N/A</v>
          </cell>
          <cell r="O2892" t="str">
            <v>Cartridge Hydraulic Filter</v>
          </cell>
        </row>
        <row r="2893">
          <cell r="K2893" t="str">
            <v>LH8523</v>
          </cell>
          <cell r="L2893" t="str">
            <v>HD</v>
          </cell>
          <cell r="M2893" t="str">
            <v>x</v>
          </cell>
          <cell r="N2893" t="e">
            <v>#N/A</v>
          </cell>
          <cell r="O2893" t="str">
            <v>Cartridge Hydraulic Filter</v>
          </cell>
        </row>
        <row r="2894">
          <cell r="K2894" t="str">
            <v>LH5940</v>
          </cell>
          <cell r="L2894" t="str">
            <v>HD</v>
          </cell>
          <cell r="M2894" t="str">
            <v>x</v>
          </cell>
          <cell r="N2894" t="e">
            <v>#N/A</v>
          </cell>
          <cell r="O2894" t="str">
            <v>Cartridge Hydraulic Filter</v>
          </cell>
        </row>
        <row r="2895">
          <cell r="K2895" t="str">
            <v>LH8540</v>
          </cell>
          <cell r="L2895" t="str">
            <v>HD</v>
          </cell>
          <cell r="M2895" t="str">
            <v>x</v>
          </cell>
          <cell r="N2895" t="e">
            <v>#N/A</v>
          </cell>
          <cell r="O2895" t="str">
            <v>Cartridge Hydraulic Filter</v>
          </cell>
        </row>
        <row r="2896">
          <cell r="K2896" t="str">
            <v>LH95058V</v>
          </cell>
          <cell r="L2896" t="str">
            <v>HD</v>
          </cell>
          <cell r="M2896" t="str">
            <v>x</v>
          </cell>
          <cell r="N2896" t="e">
            <v>#N/A</v>
          </cell>
          <cell r="O2896" t="str">
            <v>Cartridge Hydraulic Filter</v>
          </cell>
        </row>
        <row r="2897">
          <cell r="K2897" t="str">
            <v>LH95314V</v>
          </cell>
          <cell r="L2897" t="str">
            <v>HD</v>
          </cell>
          <cell r="M2897" t="str">
            <v>x</v>
          </cell>
          <cell r="N2897" t="e">
            <v>#N/A</v>
          </cell>
          <cell r="O2897" t="str">
            <v>Cartridge Hydraulic Filter</v>
          </cell>
        </row>
        <row r="2898">
          <cell r="K2898" t="str">
            <v>LH95394V</v>
          </cell>
          <cell r="L2898" t="str">
            <v>HD</v>
          </cell>
          <cell r="M2898" t="str">
            <v>x</v>
          </cell>
          <cell r="N2898" t="e">
            <v>#N/A</v>
          </cell>
          <cell r="O2898" t="str">
            <v>Cartridge Hydraulic Filter</v>
          </cell>
        </row>
        <row r="2899">
          <cell r="K2899" t="str">
            <v>LH9227V</v>
          </cell>
          <cell r="L2899" t="str">
            <v>HD</v>
          </cell>
          <cell r="M2899" t="str">
            <v>x</v>
          </cell>
          <cell r="N2899" t="e">
            <v>#N/A</v>
          </cell>
          <cell r="O2899" t="str">
            <v>Cartridge Hydraulic Filter</v>
          </cell>
        </row>
        <row r="2900">
          <cell r="K2900" t="str">
            <v>LH22142</v>
          </cell>
          <cell r="L2900" t="str">
            <v>HD</v>
          </cell>
          <cell r="M2900" t="str">
            <v>x</v>
          </cell>
          <cell r="N2900" t="e">
            <v>#N/A</v>
          </cell>
          <cell r="O2900" t="str">
            <v>Cartridge Hydraulic Filter</v>
          </cell>
        </row>
        <row r="2901">
          <cell r="K2901" t="str">
            <v>LH9401</v>
          </cell>
          <cell r="L2901" t="str">
            <v>HD</v>
          </cell>
          <cell r="M2901" t="str">
            <v>x</v>
          </cell>
          <cell r="N2901" t="e">
            <v>#N/A</v>
          </cell>
          <cell r="O2901" t="str">
            <v>Cartridge Hydraulic Filter</v>
          </cell>
        </row>
        <row r="2902">
          <cell r="K2902" t="str">
            <v>LH4385-25</v>
          </cell>
          <cell r="L2902" t="str">
            <v>HD</v>
          </cell>
          <cell r="M2902" t="str">
            <v>x</v>
          </cell>
          <cell r="N2902" t="e">
            <v>#N/A</v>
          </cell>
          <cell r="O2902" t="str">
            <v>Cartridge Hydraulic Filter</v>
          </cell>
        </row>
        <row r="2903">
          <cell r="K2903" t="str">
            <v>LH22152</v>
          </cell>
          <cell r="L2903" t="str">
            <v>HD</v>
          </cell>
          <cell r="M2903" t="str">
            <v>x</v>
          </cell>
          <cell r="N2903" t="e">
            <v>#N/A</v>
          </cell>
          <cell r="O2903" t="str">
            <v>Cartridge Hydraulic Filter</v>
          </cell>
        </row>
        <row r="2904">
          <cell r="K2904" t="str">
            <v>LP8214</v>
          </cell>
          <cell r="L2904" t="str">
            <v>HD</v>
          </cell>
          <cell r="M2904" t="str">
            <v>x</v>
          </cell>
          <cell r="N2904" t="e">
            <v>#N/A</v>
          </cell>
          <cell r="O2904" t="str">
            <v>Cartridge Hydraulic Filter</v>
          </cell>
        </row>
        <row r="2905">
          <cell r="K2905" t="str">
            <v>LH4920</v>
          </cell>
          <cell r="L2905" t="str">
            <v>HD</v>
          </cell>
          <cell r="M2905" t="str">
            <v>x</v>
          </cell>
          <cell r="N2905" t="e">
            <v>#N/A</v>
          </cell>
          <cell r="O2905" t="str">
            <v>Cartridge Hydraulic Filter</v>
          </cell>
        </row>
        <row r="2906">
          <cell r="K2906" t="str">
            <v>LFH3882-10</v>
          </cell>
          <cell r="L2906" t="str">
            <v>HD</v>
          </cell>
          <cell r="M2906" t="str">
            <v>x</v>
          </cell>
          <cell r="N2906" t="e">
            <v>#N/A</v>
          </cell>
          <cell r="O2906" t="str">
            <v>Cartridge Hydraulic Filter</v>
          </cell>
        </row>
        <row r="2907">
          <cell r="K2907" t="str">
            <v>LH5841</v>
          </cell>
          <cell r="L2907" t="str">
            <v>HD</v>
          </cell>
          <cell r="M2907" t="str">
            <v>x</v>
          </cell>
          <cell r="N2907" t="e">
            <v>#N/A</v>
          </cell>
          <cell r="O2907" t="str">
            <v>Cartridge Hydraulic Filter</v>
          </cell>
        </row>
        <row r="2908">
          <cell r="K2908" t="str">
            <v>LH8545</v>
          </cell>
          <cell r="L2908" t="str">
            <v>HD</v>
          </cell>
          <cell r="M2908" t="str">
            <v>x</v>
          </cell>
          <cell r="N2908" t="e">
            <v>#N/A</v>
          </cell>
          <cell r="O2908" t="str">
            <v>Cartridge Hydraulic Filter</v>
          </cell>
        </row>
        <row r="2909">
          <cell r="K2909" t="str">
            <v>LH9359V</v>
          </cell>
          <cell r="L2909" t="str">
            <v>HD</v>
          </cell>
          <cell r="M2909" t="str">
            <v>x</v>
          </cell>
          <cell r="N2909" t="e">
            <v>#N/A</v>
          </cell>
          <cell r="O2909" t="str">
            <v>Cartridge Hydraulic Filter</v>
          </cell>
        </row>
        <row r="2910">
          <cell r="K2910" t="str">
            <v>LH8336</v>
          </cell>
          <cell r="L2910" t="str">
            <v>HD</v>
          </cell>
          <cell r="M2910" t="str">
            <v>x</v>
          </cell>
          <cell r="N2910" t="e">
            <v>#N/A</v>
          </cell>
          <cell r="O2910" t="str">
            <v>Cartridge Hydraulic Filter</v>
          </cell>
        </row>
        <row r="2911">
          <cell r="K2911" t="str">
            <v>LH4900</v>
          </cell>
          <cell r="L2911" t="str">
            <v>HD</v>
          </cell>
          <cell r="M2911" t="str">
            <v>x</v>
          </cell>
          <cell r="N2911" t="e">
            <v>#N/A</v>
          </cell>
          <cell r="O2911" t="str">
            <v>Cartridge Hydraulic Filter</v>
          </cell>
        </row>
        <row r="2912">
          <cell r="K2912" t="str">
            <v>LP2280</v>
          </cell>
          <cell r="L2912" t="str">
            <v>HD</v>
          </cell>
          <cell r="M2912" t="str">
            <v>x</v>
          </cell>
          <cell r="N2912" t="e">
            <v>#N/A</v>
          </cell>
          <cell r="O2912" t="str">
            <v>Cartridge Hydraulic Filter</v>
          </cell>
        </row>
        <row r="2913">
          <cell r="K2913" t="str">
            <v>LH4448</v>
          </cell>
          <cell r="L2913" t="str">
            <v>HD</v>
          </cell>
          <cell r="M2913" t="str">
            <v>x</v>
          </cell>
          <cell r="N2913" t="e">
            <v>#N/A</v>
          </cell>
          <cell r="O2913" t="str">
            <v>Cartridge Hydraulic Filter</v>
          </cell>
        </row>
        <row r="2914">
          <cell r="K2914" t="str">
            <v>LH4244</v>
          </cell>
          <cell r="L2914" t="str">
            <v>HD</v>
          </cell>
          <cell r="M2914" t="str">
            <v>x</v>
          </cell>
          <cell r="N2914" t="e">
            <v>#N/A</v>
          </cell>
          <cell r="O2914" t="str">
            <v>Cartridge Hydraulic Filter</v>
          </cell>
        </row>
        <row r="2915">
          <cell r="K2915" t="str">
            <v>LH8699</v>
          </cell>
          <cell r="L2915" t="str">
            <v>HD</v>
          </cell>
          <cell r="M2915" t="str">
            <v>x</v>
          </cell>
          <cell r="N2915" t="e">
            <v>#N/A</v>
          </cell>
          <cell r="O2915" t="str">
            <v>Cartridge Hydraulic Filter</v>
          </cell>
        </row>
        <row r="2916">
          <cell r="K2916" t="str">
            <v>LH4251</v>
          </cell>
          <cell r="L2916" t="str">
            <v>HD</v>
          </cell>
          <cell r="M2916" t="str">
            <v>x</v>
          </cell>
          <cell r="N2916" t="e">
            <v>#N/A</v>
          </cell>
          <cell r="O2916" t="str">
            <v>Cartridge Hydraulic Filter</v>
          </cell>
        </row>
        <row r="2917">
          <cell r="K2917" t="str">
            <v>LH3029V</v>
          </cell>
          <cell r="L2917" t="str">
            <v>HD</v>
          </cell>
          <cell r="M2917" t="str">
            <v>x</v>
          </cell>
          <cell r="N2917" t="e">
            <v>#N/A</v>
          </cell>
          <cell r="O2917" t="str">
            <v>Cartridge Hydraulic Filter</v>
          </cell>
        </row>
        <row r="2918">
          <cell r="K2918" t="str">
            <v>LH9310V</v>
          </cell>
          <cell r="L2918" t="str">
            <v>HD</v>
          </cell>
          <cell r="M2918" t="str">
            <v>x</v>
          </cell>
          <cell r="N2918" t="e">
            <v>#N/A</v>
          </cell>
          <cell r="O2918" t="str">
            <v>Cartridge Hydraulic Filter</v>
          </cell>
        </row>
        <row r="2919">
          <cell r="K2919" t="str">
            <v>LH4583</v>
          </cell>
          <cell r="L2919" t="str">
            <v>HD</v>
          </cell>
          <cell r="M2919" t="str">
            <v>x</v>
          </cell>
          <cell r="N2919" t="e">
            <v>#N/A</v>
          </cell>
          <cell r="O2919" t="str">
            <v>Cartridge Hydraulic Filter</v>
          </cell>
        </row>
        <row r="2920">
          <cell r="K2920" t="str">
            <v>LH4267</v>
          </cell>
          <cell r="L2920" t="str">
            <v>HD</v>
          </cell>
          <cell r="M2920" t="str">
            <v>x</v>
          </cell>
          <cell r="N2920" t="e">
            <v>#N/A</v>
          </cell>
          <cell r="O2920" t="str">
            <v>Cartridge Hydraulic Filter</v>
          </cell>
        </row>
        <row r="2921">
          <cell r="K2921" t="str">
            <v>LH8520</v>
          </cell>
          <cell r="L2921" t="str">
            <v>HD</v>
          </cell>
          <cell r="M2921" t="str">
            <v>x</v>
          </cell>
          <cell r="N2921" t="e">
            <v>#N/A</v>
          </cell>
          <cell r="O2921" t="str">
            <v>Cartridge Hydraulic Filter</v>
          </cell>
        </row>
        <row r="2922">
          <cell r="K2922" t="str">
            <v>LH4100V</v>
          </cell>
          <cell r="L2922" t="str">
            <v>HD</v>
          </cell>
          <cell r="M2922" t="str">
            <v>x</v>
          </cell>
          <cell r="N2922" t="e">
            <v>#N/A</v>
          </cell>
          <cell r="O2922" t="str">
            <v>Cartridge Hydraulic Filter</v>
          </cell>
        </row>
        <row r="2923">
          <cell r="K2923" t="str">
            <v>LH4242</v>
          </cell>
          <cell r="L2923" t="str">
            <v>HD</v>
          </cell>
          <cell r="M2923" t="str">
            <v>x</v>
          </cell>
          <cell r="N2923" t="e">
            <v>#N/A</v>
          </cell>
          <cell r="O2923" t="str">
            <v>Cartridge Hydraulic Filter</v>
          </cell>
        </row>
        <row r="2924">
          <cell r="K2924" t="str">
            <v>LH7041V</v>
          </cell>
          <cell r="L2924" t="str">
            <v>HD</v>
          </cell>
          <cell r="M2924" t="str">
            <v>x</v>
          </cell>
          <cell r="N2924" t="e">
            <v>#N/A</v>
          </cell>
          <cell r="O2924" t="str">
            <v>Cartridge Hydraulic Filter</v>
          </cell>
        </row>
        <row r="2925">
          <cell r="K2925" t="str">
            <v>LH6979V</v>
          </cell>
          <cell r="L2925" t="str">
            <v>HD</v>
          </cell>
          <cell r="M2925" t="str">
            <v>x</v>
          </cell>
          <cell r="N2925" t="e">
            <v>#N/A</v>
          </cell>
          <cell r="O2925" t="str">
            <v>Cartridge Hydraulic Filter</v>
          </cell>
        </row>
        <row r="2926">
          <cell r="K2926" t="str">
            <v>LH7084</v>
          </cell>
          <cell r="L2926" t="str">
            <v>HD</v>
          </cell>
          <cell r="M2926" t="str">
            <v>x</v>
          </cell>
          <cell r="N2926" t="e">
            <v>#N/A</v>
          </cell>
          <cell r="O2926" t="str">
            <v>Cartridge Hydraulic Filter</v>
          </cell>
        </row>
        <row r="2927">
          <cell r="K2927" t="str">
            <v>LH9039</v>
          </cell>
          <cell r="L2927" t="str">
            <v>HD</v>
          </cell>
          <cell r="M2927" t="str">
            <v>x</v>
          </cell>
          <cell r="N2927" t="e">
            <v>#N/A</v>
          </cell>
          <cell r="O2927" t="str">
            <v>Cartridge Hydraulic Filter</v>
          </cell>
        </row>
        <row r="2928">
          <cell r="K2928" t="str">
            <v>LH5017</v>
          </cell>
          <cell r="L2928" t="str">
            <v>HD</v>
          </cell>
          <cell r="M2928" t="str">
            <v>x</v>
          </cell>
          <cell r="N2928" t="e">
            <v>#N/A</v>
          </cell>
          <cell r="O2928" t="str">
            <v>Cartridge Hydraulic Filter</v>
          </cell>
        </row>
        <row r="2929">
          <cell r="K2929" t="str">
            <v>LH4745</v>
          </cell>
          <cell r="L2929" t="str">
            <v>HD</v>
          </cell>
          <cell r="M2929" t="str">
            <v>x</v>
          </cell>
          <cell r="N2929" t="e">
            <v>#N/A</v>
          </cell>
          <cell r="O2929" t="str">
            <v>Cartridge Hydraulic Filter</v>
          </cell>
        </row>
        <row r="2930">
          <cell r="K2930" t="str">
            <v>LP4429</v>
          </cell>
          <cell r="L2930" t="str">
            <v>HD</v>
          </cell>
          <cell r="M2930" t="str">
            <v>x</v>
          </cell>
          <cell r="N2930" t="e">
            <v>#N/A</v>
          </cell>
          <cell r="O2930" t="str">
            <v>Cartridge Hydraulic Filter</v>
          </cell>
        </row>
        <row r="2931">
          <cell r="K2931" t="str">
            <v>LH3035V</v>
          </cell>
          <cell r="L2931" t="str">
            <v>HD</v>
          </cell>
          <cell r="M2931" t="str">
            <v>x</v>
          </cell>
          <cell r="N2931" t="e">
            <v>#N/A</v>
          </cell>
          <cell r="O2931" t="str">
            <v>Cartridge Hydraulic Filter</v>
          </cell>
        </row>
        <row r="2932">
          <cell r="K2932" t="str">
            <v>LH8546</v>
          </cell>
          <cell r="L2932" t="str">
            <v>HD</v>
          </cell>
          <cell r="M2932" t="str">
            <v>x</v>
          </cell>
          <cell r="N2932" t="e">
            <v>#N/A</v>
          </cell>
          <cell r="O2932" t="str">
            <v>Cartridge Hydraulic Filter</v>
          </cell>
        </row>
        <row r="2933">
          <cell r="K2933" t="str">
            <v>LH4249</v>
          </cell>
          <cell r="L2933" t="str">
            <v>HD</v>
          </cell>
          <cell r="M2933" t="str">
            <v>x</v>
          </cell>
          <cell r="N2933" t="e">
            <v>#N/A</v>
          </cell>
          <cell r="O2933" t="str">
            <v>Cartridge Hydraulic Filter</v>
          </cell>
        </row>
        <row r="2934">
          <cell r="K2934" t="str">
            <v>LH9400</v>
          </cell>
          <cell r="L2934" t="str">
            <v>HD</v>
          </cell>
          <cell r="M2934" t="str">
            <v>x</v>
          </cell>
          <cell r="N2934" t="e">
            <v>#N/A</v>
          </cell>
          <cell r="O2934" t="str">
            <v>Cartridge Hydraulic Filter</v>
          </cell>
        </row>
        <row r="2935">
          <cell r="K2935" t="str">
            <v>LH4435</v>
          </cell>
          <cell r="L2935" t="str">
            <v>HD</v>
          </cell>
          <cell r="M2935" t="str">
            <v>x</v>
          </cell>
          <cell r="N2935" t="e">
            <v>#N/A</v>
          </cell>
          <cell r="O2935" t="str">
            <v>Cartridge Hydraulic Filter</v>
          </cell>
        </row>
        <row r="2936">
          <cell r="K2936" t="str">
            <v>LH6988V</v>
          </cell>
          <cell r="L2936" t="str">
            <v>HD</v>
          </cell>
          <cell r="M2936" t="str">
            <v>x</v>
          </cell>
          <cell r="N2936" t="e">
            <v>#N/A</v>
          </cell>
          <cell r="O2936" t="str">
            <v>Cartridge Hydraulic Filter</v>
          </cell>
        </row>
        <row r="2937">
          <cell r="K2937" t="str">
            <v>LH4230V</v>
          </cell>
          <cell r="L2937" t="str">
            <v>HD</v>
          </cell>
          <cell r="M2937" t="str">
            <v>x</v>
          </cell>
          <cell r="N2937" t="e">
            <v>#N/A</v>
          </cell>
          <cell r="O2937" t="str">
            <v>Cartridge Hydraulic Filter</v>
          </cell>
        </row>
        <row r="2938">
          <cell r="K2938" t="str">
            <v>LH7083</v>
          </cell>
          <cell r="L2938" t="str">
            <v>HD</v>
          </cell>
          <cell r="M2938" t="str">
            <v>x</v>
          </cell>
          <cell r="N2938" t="e">
            <v>#N/A</v>
          </cell>
          <cell r="O2938" t="str">
            <v>Cartridge Hydraulic Filter</v>
          </cell>
        </row>
        <row r="2939">
          <cell r="K2939" t="str">
            <v>LH6899V</v>
          </cell>
          <cell r="L2939" t="str">
            <v>HD</v>
          </cell>
          <cell r="M2939" t="str">
            <v>x</v>
          </cell>
          <cell r="N2939" t="e">
            <v>#N/A</v>
          </cell>
          <cell r="O2939" t="str">
            <v>Cartridge Hydraulic Filter</v>
          </cell>
        </row>
        <row r="2940">
          <cell r="K2940" t="str">
            <v>LH8787</v>
          </cell>
          <cell r="L2940" t="str">
            <v>HD</v>
          </cell>
          <cell r="M2940" t="str">
            <v>x</v>
          </cell>
          <cell r="N2940" t="e">
            <v>#N/A</v>
          </cell>
          <cell r="O2940" t="str">
            <v>Cartridge Hydraulic Filter</v>
          </cell>
        </row>
        <row r="2941">
          <cell r="K2941" t="str">
            <v>LH9267</v>
          </cell>
          <cell r="L2941" t="str">
            <v>HD</v>
          </cell>
          <cell r="M2941" t="str">
            <v>x</v>
          </cell>
          <cell r="N2941" t="e">
            <v>#N/A</v>
          </cell>
          <cell r="O2941" t="str">
            <v>Cartridge Hydraulic Filter</v>
          </cell>
        </row>
        <row r="2942">
          <cell r="K2942" t="str">
            <v>LH95332V</v>
          </cell>
          <cell r="L2942" t="str">
            <v>HD</v>
          </cell>
          <cell r="M2942" t="str">
            <v>x</v>
          </cell>
          <cell r="N2942" t="e">
            <v>#N/A</v>
          </cell>
          <cell r="O2942" t="str">
            <v>Cartridge Hydraulic Filter</v>
          </cell>
        </row>
        <row r="2943">
          <cell r="K2943" t="str">
            <v>LH4257</v>
          </cell>
          <cell r="L2943" t="str">
            <v>HD</v>
          </cell>
          <cell r="M2943" t="str">
            <v>x</v>
          </cell>
          <cell r="N2943" t="e">
            <v>#N/A</v>
          </cell>
          <cell r="O2943" t="str">
            <v>Cartridge Hydraulic Filter</v>
          </cell>
        </row>
        <row r="2944">
          <cell r="K2944" t="str">
            <v>LP8472</v>
          </cell>
          <cell r="L2944" t="str">
            <v>HD</v>
          </cell>
          <cell r="M2944" t="str">
            <v>x</v>
          </cell>
          <cell r="N2944" t="e">
            <v>#N/A</v>
          </cell>
          <cell r="O2944" t="str">
            <v>Cartridge Hydraulic Filter</v>
          </cell>
        </row>
        <row r="2945">
          <cell r="K2945" t="str">
            <v>LH95027V</v>
          </cell>
          <cell r="L2945" t="str">
            <v>HD</v>
          </cell>
          <cell r="M2945" t="str">
            <v>x</v>
          </cell>
          <cell r="N2945" t="e">
            <v>#N/A</v>
          </cell>
          <cell r="O2945" t="str">
            <v>Cartridge Hydraulic Filter</v>
          </cell>
        </row>
        <row r="2946">
          <cell r="K2946" t="str">
            <v>LH4853</v>
          </cell>
          <cell r="L2946" t="str">
            <v>HD</v>
          </cell>
          <cell r="M2946" t="str">
            <v>x</v>
          </cell>
          <cell r="N2946" t="e">
            <v>#N/A</v>
          </cell>
          <cell r="O2946" t="str">
            <v>Cartridge Hydraulic Filter</v>
          </cell>
        </row>
        <row r="2947">
          <cell r="K2947" t="str">
            <v>LH4598</v>
          </cell>
          <cell r="L2947" t="str">
            <v>HD</v>
          </cell>
          <cell r="M2947" t="str">
            <v>x</v>
          </cell>
          <cell r="N2947" t="e">
            <v>#N/A</v>
          </cell>
          <cell r="O2947" t="str">
            <v>Cartridge Hydraulic Filter</v>
          </cell>
        </row>
        <row r="2948">
          <cell r="K2948" t="str">
            <v>LH4178</v>
          </cell>
          <cell r="L2948" t="str">
            <v>HD</v>
          </cell>
          <cell r="M2948" t="str">
            <v>x</v>
          </cell>
          <cell r="N2948" t="e">
            <v>#N/A</v>
          </cell>
          <cell r="O2948" t="str">
            <v>Cartridge Hydraulic Filter</v>
          </cell>
        </row>
        <row r="2949">
          <cell r="K2949" t="str">
            <v>LH8521</v>
          </cell>
          <cell r="L2949" t="str">
            <v>HD</v>
          </cell>
          <cell r="M2949" t="str">
            <v>x</v>
          </cell>
          <cell r="N2949" t="e">
            <v>#N/A</v>
          </cell>
          <cell r="O2949" t="str">
            <v>Cartridge Hydraulic Filter</v>
          </cell>
        </row>
        <row r="2950">
          <cell r="K2950" t="str">
            <v>LH4245</v>
          </cell>
          <cell r="L2950" t="str">
            <v>HD</v>
          </cell>
          <cell r="M2950" t="str">
            <v>x</v>
          </cell>
          <cell r="N2950" t="e">
            <v>#N/A</v>
          </cell>
          <cell r="O2950" t="str">
            <v>Cartridge Hydraulic Filter</v>
          </cell>
        </row>
        <row r="2951">
          <cell r="K2951" t="str">
            <v>LH8532</v>
          </cell>
          <cell r="L2951" t="str">
            <v>HD</v>
          </cell>
          <cell r="M2951" t="str">
            <v>x</v>
          </cell>
          <cell r="N2951" t="e">
            <v>#N/A</v>
          </cell>
          <cell r="O2951" t="str">
            <v>Cartridge Hydraulic Filter</v>
          </cell>
        </row>
        <row r="2952">
          <cell r="K2952" t="str">
            <v>LH4476</v>
          </cell>
          <cell r="L2952" t="str">
            <v>HD</v>
          </cell>
          <cell r="M2952" t="str">
            <v>x</v>
          </cell>
          <cell r="N2952" t="e">
            <v>#N/A</v>
          </cell>
          <cell r="O2952" t="str">
            <v>Cartridge Hydraulic Filter</v>
          </cell>
        </row>
        <row r="2953">
          <cell r="K2953" t="str">
            <v>LH22072</v>
          </cell>
          <cell r="L2953" t="str">
            <v>HD</v>
          </cell>
          <cell r="M2953" t="str">
            <v>x</v>
          </cell>
          <cell r="N2953" t="e">
            <v>#N/A</v>
          </cell>
          <cell r="O2953" t="str">
            <v>Cartridge Hydraulic Filter</v>
          </cell>
        </row>
        <row r="2954">
          <cell r="K2954" t="str">
            <v>LH8883</v>
          </cell>
          <cell r="L2954" t="str">
            <v>HD</v>
          </cell>
          <cell r="M2954" t="str">
            <v>x</v>
          </cell>
          <cell r="N2954" t="e">
            <v>#N/A</v>
          </cell>
          <cell r="O2954" t="str">
            <v>Cartridge Hydraulic Filter</v>
          </cell>
        </row>
        <row r="2955">
          <cell r="K2955" t="str">
            <v>LH4387</v>
          </cell>
          <cell r="L2955" t="str">
            <v>HD</v>
          </cell>
          <cell r="M2955" t="str">
            <v>x</v>
          </cell>
          <cell r="N2955" t="e">
            <v>#N/A</v>
          </cell>
          <cell r="O2955" t="str">
            <v>Cartridge Hydraulic Filter</v>
          </cell>
        </row>
        <row r="2956">
          <cell r="K2956" t="str">
            <v>LH8698</v>
          </cell>
          <cell r="L2956" t="str">
            <v>HD</v>
          </cell>
          <cell r="M2956" t="str">
            <v>x</v>
          </cell>
          <cell r="N2956" t="e">
            <v>#N/A</v>
          </cell>
          <cell r="O2956" t="str">
            <v>Cartridge Hydraulic Filter</v>
          </cell>
        </row>
        <row r="2957">
          <cell r="K2957" t="str">
            <v>LP3361</v>
          </cell>
          <cell r="L2957" t="str">
            <v>HD</v>
          </cell>
          <cell r="M2957" t="str">
            <v>x</v>
          </cell>
          <cell r="N2957" t="e">
            <v>#N/A</v>
          </cell>
          <cell r="O2957" t="str">
            <v>Cartridge Hydraulic Filter</v>
          </cell>
        </row>
        <row r="2958">
          <cell r="K2958" t="str">
            <v>LH4258</v>
          </cell>
          <cell r="L2958" t="str">
            <v>HD</v>
          </cell>
          <cell r="M2958" t="str">
            <v>x</v>
          </cell>
          <cell r="N2958" t="e">
            <v>#N/A</v>
          </cell>
          <cell r="O2958" t="str">
            <v>Cartridge Hydraulic Filter</v>
          </cell>
        </row>
        <row r="2959">
          <cell r="K2959" t="str">
            <v>LP8447</v>
          </cell>
          <cell r="L2959" t="str">
            <v>HD</v>
          </cell>
          <cell r="M2959" t="str">
            <v>x</v>
          </cell>
          <cell r="N2959" t="e">
            <v>#N/A</v>
          </cell>
          <cell r="O2959" t="str">
            <v>Cartridge Hydraulic Filter</v>
          </cell>
        </row>
        <row r="2960">
          <cell r="K2960" t="str">
            <v>LH22116</v>
          </cell>
          <cell r="L2960" t="str">
            <v>HD</v>
          </cell>
          <cell r="M2960" t="str">
            <v>x</v>
          </cell>
          <cell r="N2960" t="e">
            <v>#N/A</v>
          </cell>
          <cell r="O2960" t="str">
            <v>Cartridge Hydraulic Filter</v>
          </cell>
        </row>
        <row r="2961">
          <cell r="K2961" t="str">
            <v>LH95316V</v>
          </cell>
          <cell r="L2961" t="str">
            <v>HD</v>
          </cell>
          <cell r="M2961" t="str">
            <v>x</v>
          </cell>
          <cell r="N2961" t="e">
            <v>#N/A</v>
          </cell>
          <cell r="O2961" t="str">
            <v>Cartridge Hydraulic Filter</v>
          </cell>
        </row>
        <row r="2962">
          <cell r="K2962" t="str">
            <v>LH4229</v>
          </cell>
          <cell r="L2962" t="str">
            <v>HD</v>
          </cell>
          <cell r="M2962" t="str">
            <v>x</v>
          </cell>
          <cell r="N2962" t="e">
            <v>#N/A</v>
          </cell>
          <cell r="O2962" t="str">
            <v>Cartridge Hydraulic Filter</v>
          </cell>
        </row>
        <row r="2963">
          <cell r="K2963" t="str">
            <v>LP4433</v>
          </cell>
          <cell r="L2963" t="str">
            <v>HD</v>
          </cell>
          <cell r="M2963" t="str">
            <v>x</v>
          </cell>
          <cell r="N2963" t="e">
            <v>#N/A</v>
          </cell>
          <cell r="O2963" t="str">
            <v>Cartridge Hydraulic Filter</v>
          </cell>
        </row>
        <row r="2964">
          <cell r="K2964" t="str">
            <v>LH22068</v>
          </cell>
          <cell r="L2964" t="str">
            <v>HD</v>
          </cell>
          <cell r="M2964" t="str">
            <v>x</v>
          </cell>
          <cell r="N2964" t="e">
            <v>#N/A</v>
          </cell>
          <cell r="O2964" t="str">
            <v>Cartridge Hydraulic Filter</v>
          </cell>
        </row>
        <row r="2965">
          <cell r="K2965" t="str">
            <v>LH4462</v>
          </cell>
          <cell r="L2965" t="str">
            <v>HD</v>
          </cell>
          <cell r="M2965" t="str">
            <v>x</v>
          </cell>
          <cell r="N2965" t="e">
            <v>#N/A</v>
          </cell>
          <cell r="O2965" t="str">
            <v>Cartridge Hydraulic Filter</v>
          </cell>
        </row>
        <row r="2966">
          <cell r="K2966" t="str">
            <v>LH4468</v>
          </cell>
          <cell r="L2966" t="str">
            <v>HD</v>
          </cell>
          <cell r="M2966" t="str">
            <v>x</v>
          </cell>
          <cell r="N2966" t="e">
            <v>#N/A</v>
          </cell>
          <cell r="O2966" t="str">
            <v>Cartridge Hydraulic Filter</v>
          </cell>
        </row>
        <row r="2967">
          <cell r="K2967" t="str">
            <v>LH95063V</v>
          </cell>
          <cell r="L2967" t="str">
            <v>HD</v>
          </cell>
          <cell r="M2967" t="str">
            <v>x</v>
          </cell>
          <cell r="N2967" t="e">
            <v>#N/A</v>
          </cell>
          <cell r="O2967" t="str">
            <v>Cartridge Hydraulic Filter</v>
          </cell>
        </row>
        <row r="2968">
          <cell r="K2968" t="str">
            <v>LP8466</v>
          </cell>
          <cell r="L2968" t="str">
            <v>HD</v>
          </cell>
          <cell r="M2968" t="str">
            <v>x</v>
          </cell>
          <cell r="N2968" t="e">
            <v>#N/A</v>
          </cell>
          <cell r="O2968" t="str">
            <v>Cartridge Hydraulic Filter</v>
          </cell>
        </row>
        <row r="2969">
          <cell r="K2969" t="str">
            <v>LH22070</v>
          </cell>
          <cell r="L2969" t="str">
            <v>HD</v>
          </cell>
          <cell r="M2969" t="str">
            <v>x</v>
          </cell>
          <cell r="N2969" t="e">
            <v>#N/A</v>
          </cell>
          <cell r="O2969" t="str">
            <v>Cartridge Hydraulic Filter</v>
          </cell>
        </row>
        <row r="2970">
          <cell r="K2970" t="str">
            <v>LH95197</v>
          </cell>
          <cell r="L2970" t="str">
            <v>HD</v>
          </cell>
          <cell r="M2970" t="str">
            <v>x</v>
          </cell>
          <cell r="N2970" t="e">
            <v>#N/A</v>
          </cell>
          <cell r="O2970" t="str">
            <v>Cartridge Hydraulic Filter</v>
          </cell>
        </row>
        <row r="2971">
          <cell r="K2971" t="str">
            <v>LH5000</v>
          </cell>
          <cell r="L2971" t="str">
            <v>HD</v>
          </cell>
          <cell r="M2971" t="str">
            <v>x</v>
          </cell>
          <cell r="N2971" t="e">
            <v>#N/A</v>
          </cell>
          <cell r="O2971" t="str">
            <v>Cartridge Hydraulic Filter</v>
          </cell>
        </row>
        <row r="2972">
          <cell r="K2972" t="str">
            <v>LH22121</v>
          </cell>
          <cell r="L2972" t="str">
            <v>HD</v>
          </cell>
          <cell r="M2972" t="str">
            <v>x</v>
          </cell>
          <cell r="N2972" t="e">
            <v>#N/A</v>
          </cell>
          <cell r="O2972" t="str">
            <v>Cartridge Hydraulic Filter</v>
          </cell>
        </row>
        <row r="2973">
          <cell r="K2973" t="str">
            <v>LH4255</v>
          </cell>
          <cell r="L2973" t="str">
            <v>HD</v>
          </cell>
          <cell r="M2973" t="str">
            <v>x</v>
          </cell>
          <cell r="N2973" t="e">
            <v>#N/A</v>
          </cell>
          <cell r="O2973" t="str">
            <v>Cartridge Hydraulic Filter</v>
          </cell>
        </row>
        <row r="2974">
          <cell r="K2974" t="str">
            <v>LH95117V</v>
          </cell>
          <cell r="L2974" t="str">
            <v>HD</v>
          </cell>
          <cell r="M2974" t="str">
            <v>x</v>
          </cell>
          <cell r="N2974" t="e">
            <v>#N/A</v>
          </cell>
          <cell r="O2974" t="str">
            <v>Cartridge Hydraulic Filter</v>
          </cell>
        </row>
        <row r="2975">
          <cell r="K2975" t="str">
            <v>LH95271V</v>
          </cell>
          <cell r="L2975" t="str">
            <v>HD</v>
          </cell>
          <cell r="M2975" t="str">
            <v>x</v>
          </cell>
          <cell r="N2975" t="e">
            <v>#N/A</v>
          </cell>
          <cell r="O2975" t="str">
            <v>Cartridge Hydraulic Filter</v>
          </cell>
        </row>
        <row r="2976">
          <cell r="K2976" t="str">
            <v>LH95850</v>
          </cell>
          <cell r="L2976" t="str">
            <v>HD</v>
          </cell>
          <cell r="M2976" t="str">
            <v>x</v>
          </cell>
          <cell r="N2976" t="e">
            <v>#N/A</v>
          </cell>
          <cell r="O2976" t="str">
            <v>Cartridge Hydraulic Filter</v>
          </cell>
        </row>
        <row r="2977">
          <cell r="K2977" t="str">
            <v>LH95272V</v>
          </cell>
          <cell r="L2977" t="str">
            <v>HD</v>
          </cell>
          <cell r="M2977" t="str">
            <v>x</v>
          </cell>
          <cell r="N2977" t="e">
            <v>#N/A</v>
          </cell>
          <cell r="O2977" t="str">
            <v>Cartridge Hydraulic Filter</v>
          </cell>
        </row>
        <row r="2978">
          <cell r="K2978" t="str">
            <v>LH95276V</v>
          </cell>
          <cell r="L2978" t="str">
            <v>HD</v>
          </cell>
          <cell r="M2978" t="str">
            <v>x</v>
          </cell>
          <cell r="N2978" t="e">
            <v>#N/A</v>
          </cell>
          <cell r="O2978" t="str">
            <v>Cartridge Hydraulic Filter</v>
          </cell>
        </row>
        <row r="2979">
          <cell r="K2979" t="str">
            <v>LH95024V</v>
          </cell>
          <cell r="L2979" t="str">
            <v>HD</v>
          </cell>
          <cell r="M2979" t="str">
            <v>x</v>
          </cell>
          <cell r="N2979" t="e">
            <v>#N/A</v>
          </cell>
          <cell r="O2979" t="str">
            <v>Cartridge Hydraulic Filter</v>
          </cell>
        </row>
        <row r="2980">
          <cell r="K2980" t="str">
            <v>LH95115V</v>
          </cell>
          <cell r="L2980" t="str">
            <v>HD</v>
          </cell>
          <cell r="M2980" t="str">
            <v>x</v>
          </cell>
          <cell r="N2980" t="e">
            <v>#N/A</v>
          </cell>
          <cell r="O2980" t="str">
            <v>Cartridge Hydraulic Filter</v>
          </cell>
        </row>
        <row r="2981">
          <cell r="K2981" t="str">
            <v>LH4240</v>
          </cell>
          <cell r="L2981" t="str">
            <v>HD</v>
          </cell>
          <cell r="M2981" t="str">
            <v>x</v>
          </cell>
          <cell r="N2981" t="e">
            <v>#N/A</v>
          </cell>
          <cell r="O2981" t="str">
            <v>Cartridge Hydraulic Filter</v>
          </cell>
        </row>
        <row r="2982">
          <cell r="K2982" t="str">
            <v>LH4475</v>
          </cell>
          <cell r="L2982" t="str">
            <v>HD</v>
          </cell>
          <cell r="M2982" t="str">
            <v>x</v>
          </cell>
          <cell r="N2982" t="e">
            <v>#N/A</v>
          </cell>
          <cell r="O2982" t="str">
            <v>Cartridge Hydraulic Filter</v>
          </cell>
        </row>
        <row r="2983">
          <cell r="K2983" t="str">
            <v>LH9411</v>
          </cell>
          <cell r="L2983" t="str">
            <v>HD</v>
          </cell>
          <cell r="M2983" t="str">
            <v>x</v>
          </cell>
          <cell r="N2983" t="e">
            <v>#N/A</v>
          </cell>
          <cell r="O2983" t="str">
            <v>Cartridge Hydraulic Filter</v>
          </cell>
        </row>
        <row r="2984">
          <cell r="K2984" t="str">
            <v>LH6194</v>
          </cell>
          <cell r="L2984" t="str">
            <v>HD</v>
          </cell>
          <cell r="M2984" t="str">
            <v>x</v>
          </cell>
          <cell r="N2984" t="e">
            <v>#N/A</v>
          </cell>
          <cell r="O2984" t="str">
            <v>Cartridge Hydraulic Filter</v>
          </cell>
        </row>
        <row r="2985">
          <cell r="K2985" t="str">
            <v>LH9413</v>
          </cell>
          <cell r="L2985" t="str">
            <v>HD</v>
          </cell>
          <cell r="M2985" t="str">
            <v>x</v>
          </cell>
          <cell r="N2985" t="e">
            <v>#N/A</v>
          </cell>
          <cell r="O2985" t="str">
            <v>Cartridge Hydraulic Filter</v>
          </cell>
        </row>
        <row r="2986">
          <cell r="K2986" t="str">
            <v>LH95999V</v>
          </cell>
          <cell r="L2986" t="str">
            <v>HD</v>
          </cell>
          <cell r="M2986" t="str">
            <v>x</v>
          </cell>
          <cell r="N2986" t="e">
            <v>#N/A</v>
          </cell>
          <cell r="O2986" t="str">
            <v>Cartridge Hydraulic Filter</v>
          </cell>
        </row>
        <row r="2987">
          <cell r="K2987" t="str">
            <v>LH22074</v>
          </cell>
          <cell r="L2987" t="str">
            <v>HD</v>
          </cell>
          <cell r="M2987" t="str">
            <v>x</v>
          </cell>
          <cell r="N2987" t="e">
            <v>#N/A</v>
          </cell>
          <cell r="O2987" t="str">
            <v>Cartridge Hydraulic Filter</v>
          </cell>
        </row>
        <row r="2988">
          <cell r="K2988" t="str">
            <v>LH95610</v>
          </cell>
          <cell r="L2988" t="str">
            <v>HD</v>
          </cell>
          <cell r="M2988" t="str">
            <v>x</v>
          </cell>
          <cell r="N2988" t="e">
            <v>#N/A</v>
          </cell>
          <cell r="O2988" t="str">
            <v>Cartridge Hydraulic Filter</v>
          </cell>
        </row>
        <row r="2989">
          <cell r="K2989" t="str">
            <v>LH95046V</v>
          </cell>
          <cell r="L2989" t="str">
            <v>HD</v>
          </cell>
          <cell r="M2989" t="str">
            <v>x</v>
          </cell>
          <cell r="N2989" t="e">
            <v>#N/A</v>
          </cell>
          <cell r="O2989" t="str">
            <v>Cartridge Hydraulic Filter</v>
          </cell>
        </row>
        <row r="2990">
          <cell r="K2990" t="str">
            <v>LH95341V</v>
          </cell>
          <cell r="L2990" t="str">
            <v>HD</v>
          </cell>
          <cell r="M2990" t="str">
            <v>x</v>
          </cell>
          <cell r="N2990" t="e">
            <v>#N/A</v>
          </cell>
          <cell r="O2990" t="str">
            <v>Cartridge Hydraulic Filter</v>
          </cell>
        </row>
        <row r="2991">
          <cell r="K2991" t="str">
            <v>LH4265</v>
          </cell>
          <cell r="L2991" t="str">
            <v>HD</v>
          </cell>
          <cell r="M2991" t="str">
            <v>x</v>
          </cell>
          <cell r="N2991" t="e">
            <v>#N/A</v>
          </cell>
          <cell r="O2991" t="str">
            <v>Cartridge Hydraulic Filter</v>
          </cell>
        </row>
        <row r="2992">
          <cell r="K2992" t="str">
            <v>LH95121V</v>
          </cell>
          <cell r="L2992" t="str">
            <v>HD</v>
          </cell>
          <cell r="M2992" t="str">
            <v>x</v>
          </cell>
          <cell r="N2992" t="e">
            <v>#N/A</v>
          </cell>
          <cell r="O2992" t="str">
            <v>Cartridge Hydraulic Filter</v>
          </cell>
        </row>
        <row r="2993">
          <cell r="K2993" t="str">
            <v>LH95920V</v>
          </cell>
          <cell r="L2993" t="str">
            <v>HD</v>
          </cell>
          <cell r="M2993" t="str">
            <v>x</v>
          </cell>
          <cell r="N2993" t="e">
            <v>#N/A</v>
          </cell>
          <cell r="O2993" t="str">
            <v>Cartridge Hydraulic Filter</v>
          </cell>
        </row>
        <row r="2994">
          <cell r="K2994" t="str">
            <v>LH95011</v>
          </cell>
          <cell r="L2994" t="str">
            <v>HD</v>
          </cell>
          <cell r="M2994" t="str">
            <v>x</v>
          </cell>
          <cell r="N2994" t="e">
            <v>#N/A</v>
          </cell>
          <cell r="O2994" t="str">
            <v>Cartridge Hydraulic Filter</v>
          </cell>
        </row>
        <row r="2995">
          <cell r="K2995" t="str">
            <v>LH95121</v>
          </cell>
          <cell r="L2995" t="str">
            <v>HD</v>
          </cell>
          <cell r="M2995" t="str">
            <v>x</v>
          </cell>
          <cell r="N2995" t="e">
            <v>#N/A</v>
          </cell>
          <cell r="O2995" t="str">
            <v>Cartridge Hydraulic Filter</v>
          </cell>
        </row>
        <row r="2996">
          <cell r="K2996" t="str">
            <v>LH95266V</v>
          </cell>
          <cell r="L2996" t="str">
            <v>HD</v>
          </cell>
          <cell r="M2996" t="str">
            <v>x</v>
          </cell>
          <cell r="N2996" t="e">
            <v>#N/A</v>
          </cell>
          <cell r="O2996" t="str">
            <v>Cartridge Hydraulic Filter</v>
          </cell>
        </row>
        <row r="2997">
          <cell r="K2997" t="str">
            <v>LH95281V</v>
          </cell>
          <cell r="L2997" t="str">
            <v>HD</v>
          </cell>
          <cell r="M2997" t="str">
            <v>x</v>
          </cell>
          <cell r="N2997" t="e">
            <v>#N/A</v>
          </cell>
          <cell r="O2997" t="str">
            <v>Cartridge Hydraulic Filter</v>
          </cell>
        </row>
        <row r="2998">
          <cell r="K2998" t="str">
            <v>LH3878</v>
          </cell>
          <cell r="L2998" t="str">
            <v>HD</v>
          </cell>
          <cell r="M2998" t="str">
            <v>x</v>
          </cell>
          <cell r="N2998" t="e">
            <v>#N/A</v>
          </cell>
          <cell r="O2998" t="str">
            <v>Cartridge Hydraulic Filter</v>
          </cell>
        </row>
        <row r="2999">
          <cell r="K2999" t="str">
            <v>LH95241</v>
          </cell>
          <cell r="L2999" t="str">
            <v>HD</v>
          </cell>
          <cell r="M2999" t="str">
            <v>x</v>
          </cell>
          <cell r="N2999" t="e">
            <v>#N/A</v>
          </cell>
          <cell r="O2999" t="str">
            <v>Cartridge Hydraulic Filter</v>
          </cell>
        </row>
        <row r="3000">
          <cell r="K3000" t="str">
            <v>LH95996V</v>
          </cell>
          <cell r="L3000" t="str">
            <v>HD</v>
          </cell>
          <cell r="M3000" t="str">
            <v>x</v>
          </cell>
          <cell r="N3000" t="e">
            <v>#N/A</v>
          </cell>
          <cell r="O3000" t="str">
            <v>Cartridge Hydraulic Filter</v>
          </cell>
        </row>
        <row r="3001">
          <cell r="K3001" t="str">
            <v>LH95152</v>
          </cell>
          <cell r="L3001" t="str">
            <v>HD</v>
          </cell>
          <cell r="M3001" t="str">
            <v>x</v>
          </cell>
          <cell r="N3001" t="e">
            <v>#N/A</v>
          </cell>
          <cell r="O3001" t="str">
            <v>Cartridge Hydraulic Filter</v>
          </cell>
        </row>
        <row r="3002">
          <cell r="K3002" t="str">
            <v>LH4474</v>
          </cell>
          <cell r="L3002" t="str">
            <v>HD</v>
          </cell>
          <cell r="M3002" t="str">
            <v>x</v>
          </cell>
          <cell r="N3002" t="e">
            <v>#N/A</v>
          </cell>
          <cell r="O3002" t="str">
            <v>Cartridge Hydraulic Filter</v>
          </cell>
        </row>
        <row r="3003">
          <cell r="K3003" t="str">
            <v>LP4453</v>
          </cell>
          <cell r="L3003" t="str">
            <v>HD</v>
          </cell>
          <cell r="M3003" t="str">
            <v>x</v>
          </cell>
          <cell r="N3003" t="e">
            <v>#N/A</v>
          </cell>
          <cell r="O3003" t="str">
            <v>Cartridge Hydraulic Filter</v>
          </cell>
        </row>
        <row r="3004">
          <cell r="K3004" t="str">
            <v>LP8413</v>
          </cell>
          <cell r="L3004" t="str">
            <v>HD</v>
          </cell>
          <cell r="M3004" t="str">
            <v>x</v>
          </cell>
          <cell r="N3004" t="e">
            <v>#N/A</v>
          </cell>
          <cell r="O3004" t="str">
            <v>Cartridge Hydraulic Filter</v>
          </cell>
        </row>
        <row r="3005">
          <cell r="K3005" t="str">
            <v>LH4417</v>
          </cell>
          <cell r="L3005" t="str">
            <v>HD</v>
          </cell>
          <cell r="M3005" t="str">
            <v>x</v>
          </cell>
          <cell r="N3005" t="e">
            <v>#N/A</v>
          </cell>
          <cell r="O3005" t="str">
            <v>Cartridge Hydraulic Filter</v>
          </cell>
        </row>
        <row r="3006">
          <cell r="K3006" t="str">
            <v>LP8290</v>
          </cell>
          <cell r="L3006" t="str">
            <v>HD</v>
          </cell>
          <cell r="M3006" t="str">
            <v>x</v>
          </cell>
          <cell r="N3006" t="e">
            <v>#N/A</v>
          </cell>
          <cell r="O3006" t="str">
            <v>Cartridge Hydraulic Filter</v>
          </cell>
        </row>
        <row r="3007">
          <cell r="K3007" t="str">
            <v>LH8378</v>
          </cell>
          <cell r="L3007" t="str">
            <v>HD</v>
          </cell>
          <cell r="M3007" t="str">
            <v>x</v>
          </cell>
          <cell r="N3007" t="e">
            <v>#N/A</v>
          </cell>
          <cell r="O3007" t="str">
            <v>Cartridge Hydraulic Filter</v>
          </cell>
        </row>
        <row r="3008">
          <cell r="K3008" t="str">
            <v>LH4269</v>
          </cell>
          <cell r="L3008" t="str">
            <v>HD</v>
          </cell>
          <cell r="M3008" t="str">
            <v>x</v>
          </cell>
          <cell r="N3008" t="e">
            <v>#N/A</v>
          </cell>
          <cell r="O3008" t="str">
            <v>Cartridge Hydraulic Filter</v>
          </cell>
        </row>
        <row r="3009">
          <cell r="K3009" t="str">
            <v>LH22069</v>
          </cell>
          <cell r="L3009" t="str">
            <v>HD</v>
          </cell>
          <cell r="M3009" t="str">
            <v>x</v>
          </cell>
          <cell r="N3009" t="e">
            <v>#N/A</v>
          </cell>
          <cell r="O3009" t="str">
            <v>Cartridge Hydraulic Filter</v>
          </cell>
        </row>
        <row r="3010">
          <cell r="K3010" t="str">
            <v>LH8519</v>
          </cell>
          <cell r="L3010" t="str">
            <v>HD</v>
          </cell>
          <cell r="M3010" t="str">
            <v>x</v>
          </cell>
          <cell r="N3010" t="e">
            <v>#N/A</v>
          </cell>
          <cell r="O3010" t="str">
            <v>Cartridge Hydraulic Filter</v>
          </cell>
        </row>
        <row r="3011">
          <cell r="K3011" t="str">
            <v>LH4995</v>
          </cell>
          <cell r="L3011" t="str">
            <v>HD</v>
          </cell>
          <cell r="M3011" t="str">
            <v>x</v>
          </cell>
          <cell r="N3011" t="e">
            <v>#N/A</v>
          </cell>
          <cell r="O3011" t="str">
            <v>Cartridge Hydraulic Filter</v>
          </cell>
        </row>
        <row r="3012">
          <cell r="K3012" t="str">
            <v>L3401F</v>
          </cell>
          <cell r="L3012" t="str">
            <v>HD</v>
          </cell>
          <cell r="M3012" t="str">
            <v>x</v>
          </cell>
          <cell r="N3012" t="e">
            <v>#N/A</v>
          </cell>
          <cell r="O3012" t="str">
            <v>Cartridge Fuel Filter</v>
          </cell>
        </row>
        <row r="3013">
          <cell r="K3013" t="str">
            <v>L3568F</v>
          </cell>
          <cell r="L3013" t="str">
            <v>HD</v>
          </cell>
          <cell r="M3013" t="str">
            <v>x</v>
          </cell>
          <cell r="N3013" t="e">
            <v>#N/A</v>
          </cell>
          <cell r="O3013" t="str">
            <v>Cartridge Fuel Filter</v>
          </cell>
        </row>
        <row r="3014">
          <cell r="K3014" t="str">
            <v>L3577F</v>
          </cell>
          <cell r="L3014" t="str">
            <v>HD</v>
          </cell>
          <cell r="M3014" t="str">
            <v>x</v>
          </cell>
          <cell r="N3014" t="e">
            <v>#N/A</v>
          </cell>
          <cell r="O3014" t="str">
            <v>Cartridge Fuel Filter</v>
          </cell>
        </row>
        <row r="3015">
          <cell r="K3015" t="str">
            <v>L1020F</v>
          </cell>
          <cell r="L3015" t="str">
            <v>HD</v>
          </cell>
          <cell r="M3015" t="str">
            <v>x</v>
          </cell>
          <cell r="N3015" t="e">
            <v>#N/A</v>
          </cell>
          <cell r="O3015" t="str">
            <v>Cartridge Fuel Filter</v>
          </cell>
        </row>
        <row r="3016">
          <cell r="K3016" t="str">
            <v>L8109F</v>
          </cell>
          <cell r="L3016" t="str">
            <v>HD</v>
          </cell>
          <cell r="M3016" t="str">
            <v>x</v>
          </cell>
          <cell r="N3016" t="e">
            <v>#N/A</v>
          </cell>
          <cell r="O3016" t="str">
            <v>Cartridge Fuel Filter</v>
          </cell>
        </row>
        <row r="3017">
          <cell r="K3017" t="str">
            <v>LFF3510</v>
          </cell>
          <cell r="L3017" t="str">
            <v>HD</v>
          </cell>
          <cell r="M3017" t="str">
            <v>x</v>
          </cell>
          <cell r="N3017" t="e">
            <v>#N/A</v>
          </cell>
          <cell r="O3017" t="str">
            <v>Cartridge Fuel Filter</v>
          </cell>
        </row>
        <row r="3018">
          <cell r="K3018" t="str">
            <v>L5949F</v>
          </cell>
          <cell r="L3018" t="str">
            <v>HD</v>
          </cell>
          <cell r="M3018" t="str">
            <v>x</v>
          </cell>
          <cell r="N3018" t="e">
            <v>#N/A</v>
          </cell>
          <cell r="O3018" t="str">
            <v>Cartridge Fuel Filter</v>
          </cell>
        </row>
        <row r="3019">
          <cell r="K3019" t="str">
            <v>LFF3508</v>
          </cell>
          <cell r="L3019" t="str">
            <v>HD</v>
          </cell>
          <cell r="M3019" t="str">
            <v>x</v>
          </cell>
          <cell r="N3019" t="e">
            <v>#N/A</v>
          </cell>
          <cell r="O3019" t="str">
            <v>Cartridge Fuel Filter</v>
          </cell>
        </row>
        <row r="3020">
          <cell r="K3020" t="str">
            <v>LFF3511</v>
          </cell>
          <cell r="L3020" t="str">
            <v>HD</v>
          </cell>
          <cell r="M3020" t="str">
            <v>x</v>
          </cell>
          <cell r="N3020" t="e">
            <v>#N/A</v>
          </cell>
          <cell r="O3020" t="str">
            <v>Cartridge Fuel Filter</v>
          </cell>
        </row>
        <row r="3021">
          <cell r="K3021" t="str">
            <v>L3516F</v>
          </cell>
          <cell r="L3021" t="str">
            <v>HD</v>
          </cell>
          <cell r="M3021" t="str">
            <v>x</v>
          </cell>
          <cell r="N3021" t="e">
            <v>#N/A</v>
          </cell>
          <cell r="O3021" t="str">
            <v>Cartridge Fuel Filter</v>
          </cell>
        </row>
        <row r="3022">
          <cell r="K3022" t="str">
            <v>L3562F</v>
          </cell>
          <cell r="L3022" t="str">
            <v>HD</v>
          </cell>
          <cell r="M3022" t="str">
            <v>x</v>
          </cell>
          <cell r="N3022" t="e">
            <v>#N/A</v>
          </cell>
          <cell r="O3022" t="str">
            <v>Cartridge Fuel Filter</v>
          </cell>
        </row>
        <row r="3023">
          <cell r="K3023" t="str">
            <v>L877F</v>
          </cell>
          <cell r="L3023" t="str">
            <v>HD</v>
          </cell>
          <cell r="M3023" t="str">
            <v>x</v>
          </cell>
          <cell r="N3023" t="e">
            <v>#N/A</v>
          </cell>
          <cell r="O3023" t="str">
            <v>Cartridge Fuel Filter</v>
          </cell>
        </row>
        <row r="3024">
          <cell r="K3024" t="str">
            <v>L3418F</v>
          </cell>
          <cell r="L3024" t="str">
            <v>HD</v>
          </cell>
          <cell r="M3024" t="str">
            <v>x</v>
          </cell>
          <cell r="N3024" t="e">
            <v>#N/A</v>
          </cell>
          <cell r="O3024" t="str">
            <v>Cartridge Fuel Filter</v>
          </cell>
        </row>
        <row r="3025">
          <cell r="K3025" t="str">
            <v>L14F</v>
          </cell>
          <cell r="L3025" t="str">
            <v>HD</v>
          </cell>
          <cell r="M3025" t="str">
            <v>x</v>
          </cell>
          <cell r="N3025" t="e">
            <v>#N/A</v>
          </cell>
          <cell r="O3025" t="str">
            <v>Cartridge Fuel Filter</v>
          </cell>
        </row>
        <row r="3026">
          <cell r="K3026" t="str">
            <v>L22000F</v>
          </cell>
          <cell r="L3026" t="str">
            <v>HD</v>
          </cell>
          <cell r="M3026" t="str">
            <v>x</v>
          </cell>
          <cell r="N3026" t="e">
            <v>#N/A</v>
          </cell>
          <cell r="O3026" t="str">
            <v>Cartridge Fuel Filter</v>
          </cell>
        </row>
        <row r="3027">
          <cell r="K3027" t="str">
            <v>L8305F</v>
          </cell>
          <cell r="L3027" t="str">
            <v>HD</v>
          </cell>
          <cell r="M3027" t="str">
            <v>x</v>
          </cell>
          <cell r="N3027" t="e">
            <v>#N/A</v>
          </cell>
          <cell r="O3027" t="str">
            <v>Cartridge Fuel Filter</v>
          </cell>
        </row>
        <row r="3028">
          <cell r="K3028" t="str">
            <v>L7767F</v>
          </cell>
          <cell r="L3028" t="str">
            <v>HD</v>
          </cell>
          <cell r="M3028" t="str">
            <v>x</v>
          </cell>
          <cell r="N3028" t="e">
            <v>#N/A</v>
          </cell>
          <cell r="O3028" t="str">
            <v>Cartridge Fuel Filter</v>
          </cell>
        </row>
        <row r="3029">
          <cell r="K3029" t="str">
            <v>L8702F</v>
          </cell>
          <cell r="L3029" t="str">
            <v>HD</v>
          </cell>
          <cell r="M3029" t="str">
            <v>x</v>
          </cell>
          <cell r="N3029" t="e">
            <v>#N/A</v>
          </cell>
          <cell r="O3029" t="str">
            <v>Cartridge Fuel Filter</v>
          </cell>
        </row>
        <row r="3030">
          <cell r="K3030" t="str">
            <v>L3569F</v>
          </cell>
          <cell r="L3030" t="str">
            <v>HD</v>
          </cell>
          <cell r="M3030" t="str">
            <v>x</v>
          </cell>
          <cell r="N3030" t="e">
            <v>#N/A</v>
          </cell>
          <cell r="O3030" t="str">
            <v>Cartridge Fuel Filter</v>
          </cell>
        </row>
        <row r="3031">
          <cell r="K3031" t="str">
            <v>L3405F</v>
          </cell>
          <cell r="L3031" t="str">
            <v>HD</v>
          </cell>
          <cell r="M3031" t="str">
            <v>x</v>
          </cell>
          <cell r="N3031" t="e">
            <v>#N/A</v>
          </cell>
          <cell r="O3031" t="str">
            <v>Cartridge Fuel Filter</v>
          </cell>
        </row>
        <row r="3032">
          <cell r="K3032" t="str">
            <v>LP4083</v>
          </cell>
          <cell r="L3032" t="str">
            <v>HD</v>
          </cell>
          <cell r="M3032" t="str">
            <v>x</v>
          </cell>
          <cell r="N3032" t="e">
            <v>#N/A</v>
          </cell>
          <cell r="O3032" t="str">
            <v>Cartridge Centrifugal Oil Filter</v>
          </cell>
        </row>
        <row r="3033">
          <cell r="K3033" t="str">
            <v>CAF12001XL</v>
          </cell>
          <cell r="L3033" t="str">
            <v>HD</v>
          </cell>
          <cell r="M3033" t="str">
            <v>x</v>
          </cell>
          <cell r="N3033" t="e">
            <v>#N/A</v>
          </cell>
          <cell r="O3033" t="str">
            <v>Cabin Air Filter (Carbon) Extreme Clean</v>
          </cell>
        </row>
        <row r="3034">
          <cell r="K3034" t="str">
            <v>LAF8960</v>
          </cell>
          <cell r="L3034" t="str">
            <v>HD</v>
          </cell>
          <cell r="M3034" t="str">
            <v>x</v>
          </cell>
          <cell r="N3034" t="e">
            <v>#N/A</v>
          </cell>
          <cell r="O3034" t="str">
            <v>Cabin Air Filter</v>
          </cell>
        </row>
        <row r="3035">
          <cell r="K3035" t="str">
            <v>BRKT</v>
          </cell>
          <cell r="L3035" t="str">
            <v>HD</v>
          </cell>
          <cell r="M3035" t="str">
            <v>x</v>
          </cell>
          <cell r="N3035" t="e">
            <v>#N/A</v>
          </cell>
          <cell r="O3035" t="str">
            <v>Bracket Brand/500-C, 750-C, 970-C</v>
          </cell>
        </row>
        <row r="3036">
          <cell r="K3036" t="str">
            <v>BRACKET</v>
          </cell>
          <cell r="L3036" t="str">
            <v>HD</v>
          </cell>
          <cell r="M3036" t="str">
            <v>x</v>
          </cell>
          <cell r="N3036" t="e">
            <v>#N/A</v>
          </cell>
          <cell r="O3036" t="str">
            <v>Bracket Base/500-C, CT, 750-C, 970-C, Black/500-C, 750-C, CT</v>
          </cell>
        </row>
        <row r="3037">
          <cell r="K3037" t="str">
            <v>BRKT</v>
          </cell>
          <cell r="L3037" t="str">
            <v>HD</v>
          </cell>
          <cell r="M3037" t="str">
            <v>x</v>
          </cell>
          <cell r="N3037" t="e">
            <v>#N/A</v>
          </cell>
          <cell r="O3037" t="str">
            <v>Bracket Base/500-C, 750-C, 970-C</v>
          </cell>
        </row>
        <row r="3038">
          <cell r="K3038" t="str">
            <v>BRKT</v>
          </cell>
          <cell r="L3038" t="str">
            <v>HD</v>
          </cell>
          <cell r="M3038" t="str">
            <v>x</v>
          </cell>
          <cell r="N3038" t="e">
            <v>#N/A</v>
          </cell>
          <cell r="O3038" t="str">
            <v>Bracket Base/272-C, 300-S, 363-C</v>
          </cell>
        </row>
        <row r="3039">
          <cell r="K3039" t="str">
            <v>BRACKET</v>
          </cell>
          <cell r="L3039" t="str">
            <v>HD</v>
          </cell>
          <cell r="M3039" t="str">
            <v>x</v>
          </cell>
          <cell r="N3039" t="e">
            <v>#N/A</v>
          </cell>
          <cell r="O3039" t="str">
            <v>Bracket Base Spevial (Double 2206)/500-C, 750-C, CT</v>
          </cell>
        </row>
        <row r="3040">
          <cell r="K3040" t="str">
            <v>BRACKET</v>
          </cell>
          <cell r="L3040" t="str">
            <v>HD</v>
          </cell>
          <cell r="M3040" t="str">
            <v>x</v>
          </cell>
          <cell r="N3040" t="e">
            <v>#N/A</v>
          </cell>
          <cell r="O3040" t="str">
            <v>Bracket Band/500-C, 750-C, CT, 970-C, Black/500-C, 750-C, CT</v>
          </cell>
        </row>
        <row r="3041">
          <cell r="K3041" t="str">
            <v>BRKT</v>
          </cell>
          <cell r="L3041" t="str">
            <v>HD</v>
          </cell>
          <cell r="M3041" t="str">
            <v>x</v>
          </cell>
          <cell r="N3041" t="e">
            <v>#N/A</v>
          </cell>
          <cell r="O3041" t="str">
            <v>Bracket Band/272-C, 300-S, 363-C</v>
          </cell>
        </row>
        <row r="3042">
          <cell r="K3042" t="str">
            <v>LFF9005</v>
          </cell>
          <cell r="L3042" t="str">
            <v>HD</v>
          </cell>
          <cell r="M3042" t="str">
            <v>x</v>
          </cell>
          <cell r="N3042" t="e">
            <v>#N/A</v>
          </cell>
          <cell r="O3042" t="str">
            <v>Bowl Style Fuel Water Separator Filter</v>
          </cell>
        </row>
        <row r="3043">
          <cell r="K3043" t="str">
            <v>LFF905</v>
          </cell>
          <cell r="L3043" t="str">
            <v>HD</v>
          </cell>
          <cell r="M3043" t="str">
            <v>x</v>
          </cell>
          <cell r="N3043" t="e">
            <v>#N/A</v>
          </cell>
          <cell r="O3043" t="str">
            <v>Bowl Style Fuel Water Separator Filter</v>
          </cell>
        </row>
        <row r="3044">
          <cell r="K3044" t="str">
            <v>20362</v>
          </cell>
          <cell r="L3044" t="str">
            <v>HD</v>
          </cell>
          <cell r="M3044" t="str">
            <v>x</v>
          </cell>
          <cell r="N3044" t="e">
            <v>#N/A</v>
          </cell>
          <cell r="O3044" t="str">
            <v>Boot gasket for LAF5069 &amp; LAF1818.</v>
          </cell>
        </row>
        <row r="3045">
          <cell r="K3045" t="str">
            <v>LMB1002</v>
          </cell>
          <cell r="L3045" t="str">
            <v>HD</v>
          </cell>
          <cell r="M3045" t="str">
            <v>x</v>
          </cell>
          <cell r="N3045" t="e">
            <v>#N/A</v>
          </cell>
          <cell r="O3045" t="str">
            <v>Base for LFF8010 or LFP944F</v>
          </cell>
        </row>
        <row r="3046">
          <cell r="K3046" t="str">
            <v>MACH</v>
          </cell>
          <cell r="L3046" t="str">
            <v>HD</v>
          </cell>
          <cell r="M3046" t="str">
            <v>x</v>
          </cell>
          <cell r="N3046" t="e">
            <v>#N/A</v>
          </cell>
          <cell r="O3046" t="str">
            <v>Base Bolts/750-2, 3, 2C &amp; 3C</v>
          </cell>
        </row>
        <row r="3047">
          <cell r="K3047">
            <v>1152</v>
          </cell>
          <cell r="L3047" t="str">
            <v>HD</v>
          </cell>
          <cell r="M3047" t="str">
            <v>x</v>
          </cell>
          <cell r="N3047" t="e">
            <v>#N/A</v>
          </cell>
          <cell r="O3047" t="str">
            <v>Baldwin G301; O-ring used in LP7485 by-pass lube filter for International trucks.</v>
          </cell>
        </row>
        <row r="3048">
          <cell r="K3048">
            <v>1151</v>
          </cell>
          <cell r="L3048" t="str">
            <v>HD</v>
          </cell>
          <cell r="M3048" t="str">
            <v>x</v>
          </cell>
          <cell r="N3048" t="e">
            <v>#N/A</v>
          </cell>
          <cell r="O3048" t="str">
            <v>Baldwin 75 Gasoline or Diesel Fuel Filter/Water Separator</v>
          </cell>
        </row>
        <row r="3049">
          <cell r="K3049">
            <v>1150</v>
          </cell>
          <cell r="L3049" t="str">
            <v>HD</v>
          </cell>
          <cell r="M3049" t="str">
            <v>x</v>
          </cell>
          <cell r="N3049" t="e">
            <v>#N/A</v>
          </cell>
          <cell r="O3049" t="str">
            <v>Baldwin 65 Gasoline or Diesel Fuel Filter/Water Separator</v>
          </cell>
        </row>
        <row r="3050">
          <cell r="K3050">
            <v>1147</v>
          </cell>
          <cell r="L3050" t="str">
            <v>HD</v>
          </cell>
          <cell r="M3050" t="str">
            <v>x</v>
          </cell>
          <cell r="N3050" t="e">
            <v>#N/A</v>
          </cell>
          <cell r="O3050" t="str">
            <v>Baldwin 200-GK; set of 11 gaskets for 200 and 300 Series Dahl fuel systems.</v>
          </cell>
        </row>
        <row r="3051">
          <cell r="K3051" t="str">
            <v>ALIGNMENT</v>
          </cell>
          <cell r="L3051" t="str">
            <v>HD</v>
          </cell>
          <cell r="M3051" t="str">
            <v>x</v>
          </cell>
          <cell r="N3051" t="e">
            <v>#N/A</v>
          </cell>
          <cell r="O3051" t="str">
            <v>Alignment Ring, Hold Down Assembly/750-2C, 3C</v>
          </cell>
        </row>
        <row r="3052">
          <cell r="K3052" t="str">
            <v>750CT</v>
          </cell>
          <cell r="L3052" t="str">
            <v>HD</v>
          </cell>
          <cell r="M3052" t="str">
            <v>x</v>
          </cell>
          <cell r="N3052" t="e">
            <v>#N/A</v>
          </cell>
          <cell r="O3052" t="str">
            <v>750T INVERT U</v>
          </cell>
        </row>
        <row r="3053">
          <cell r="K3053" t="str">
            <v>750CT</v>
          </cell>
          <cell r="L3053" t="str">
            <v>HD</v>
          </cell>
          <cell r="M3053" t="str">
            <v>x</v>
          </cell>
          <cell r="N3053" t="e">
            <v>#N/A</v>
          </cell>
          <cell r="O3053" t="str">
            <v>750T HORZ D U</v>
          </cell>
        </row>
        <row r="3054">
          <cell r="K3054" t="str">
            <v>750CT</v>
          </cell>
          <cell r="L3054" t="str">
            <v>HD</v>
          </cell>
          <cell r="M3054" t="str">
            <v>x</v>
          </cell>
          <cell r="N3054" t="e">
            <v>#N/A</v>
          </cell>
          <cell r="O3054" t="str">
            <v>750T GRAY UNT</v>
          </cell>
        </row>
        <row r="3055">
          <cell r="K3055" t="str">
            <v>750CT</v>
          </cell>
          <cell r="L3055" t="str">
            <v>HD</v>
          </cell>
          <cell r="M3055" t="str">
            <v>x</v>
          </cell>
          <cell r="N3055" t="e">
            <v>#N/A</v>
          </cell>
          <cell r="O3055" t="str">
            <v>750T GRAY UNT</v>
          </cell>
        </row>
        <row r="3056">
          <cell r="K3056" t="str">
            <v>750CT</v>
          </cell>
          <cell r="L3056" t="str">
            <v>HD</v>
          </cell>
          <cell r="M3056" t="str">
            <v>x</v>
          </cell>
          <cell r="N3056" t="e">
            <v>#N/A</v>
          </cell>
          <cell r="O3056" t="str">
            <v>750T GRAY D</v>
          </cell>
        </row>
        <row r="3057">
          <cell r="K3057" t="str">
            <v>750CT</v>
          </cell>
          <cell r="L3057" t="str">
            <v>HD</v>
          </cell>
          <cell r="M3057" t="str">
            <v>x</v>
          </cell>
          <cell r="N3057" t="e">
            <v>#N/A</v>
          </cell>
          <cell r="O3057" t="str">
            <v>750T FLTPAK</v>
          </cell>
        </row>
        <row r="3058">
          <cell r="K3058" t="str">
            <v>750CT</v>
          </cell>
          <cell r="L3058" t="str">
            <v>HD</v>
          </cell>
          <cell r="M3058" t="str">
            <v>x</v>
          </cell>
          <cell r="N3058" t="e">
            <v>#N/A</v>
          </cell>
          <cell r="O3058" t="str">
            <v>750T DIESEL</v>
          </cell>
        </row>
        <row r="3059">
          <cell r="K3059" t="str">
            <v>750CT</v>
          </cell>
          <cell r="L3059" t="str">
            <v>HD</v>
          </cell>
          <cell r="M3059" t="str">
            <v>x</v>
          </cell>
          <cell r="N3059" t="e">
            <v>#N/A</v>
          </cell>
          <cell r="O3059" t="str">
            <v>750T DIESEL</v>
          </cell>
        </row>
        <row r="3060">
          <cell r="K3060" t="str">
            <v>750CT</v>
          </cell>
          <cell r="L3060" t="str">
            <v>HD</v>
          </cell>
          <cell r="M3060" t="str">
            <v>x</v>
          </cell>
          <cell r="N3060" t="e">
            <v>#N/A</v>
          </cell>
          <cell r="O3060" t="str">
            <v>750T DIESEL</v>
          </cell>
        </row>
        <row r="3061">
          <cell r="K3061" t="str">
            <v>750CT</v>
          </cell>
          <cell r="L3061" t="str">
            <v>HD</v>
          </cell>
          <cell r="M3061" t="str">
            <v>x</v>
          </cell>
          <cell r="N3061" t="e">
            <v>#N/A</v>
          </cell>
          <cell r="O3061" t="str">
            <v>750T DIESEL</v>
          </cell>
        </row>
        <row r="3062">
          <cell r="K3062" t="str">
            <v>750CT</v>
          </cell>
          <cell r="L3062" t="str">
            <v>HD</v>
          </cell>
          <cell r="M3062" t="str">
            <v>x</v>
          </cell>
          <cell r="N3062" t="e">
            <v>#N/A</v>
          </cell>
          <cell r="O3062" t="str">
            <v>750T DEISEL U</v>
          </cell>
        </row>
        <row r="3063">
          <cell r="K3063" t="str">
            <v>750CT</v>
          </cell>
          <cell r="L3063" t="str">
            <v>HD</v>
          </cell>
          <cell r="M3063" t="str">
            <v>x</v>
          </cell>
          <cell r="N3063" t="e">
            <v>#N/A</v>
          </cell>
          <cell r="O3063" t="str">
            <v>750T 2122 EL</v>
          </cell>
        </row>
        <row r="3064">
          <cell r="K3064" t="str">
            <v>750CT</v>
          </cell>
          <cell r="L3064" t="str">
            <v>HD</v>
          </cell>
          <cell r="M3064" t="str">
            <v>x</v>
          </cell>
          <cell r="N3064" t="e">
            <v>#N/A</v>
          </cell>
          <cell r="O3064" t="str">
            <v>750CT Upright Filter Assembly with 2122 Element</v>
          </cell>
        </row>
        <row r="3065">
          <cell r="K3065" t="str">
            <v>750CT</v>
          </cell>
          <cell r="L3065" t="str">
            <v>HD</v>
          </cell>
          <cell r="M3065" t="str">
            <v>x</v>
          </cell>
          <cell r="N3065" t="e">
            <v>#N/A</v>
          </cell>
          <cell r="O3065" t="str">
            <v>750CT Upright Filter Assembly with 2122 Element</v>
          </cell>
        </row>
        <row r="3066">
          <cell r="K3066" t="str">
            <v>750CT</v>
          </cell>
          <cell r="L3066" t="str">
            <v>HD</v>
          </cell>
          <cell r="M3066" t="str">
            <v>x</v>
          </cell>
          <cell r="N3066" t="e">
            <v>#N/A</v>
          </cell>
          <cell r="O3066" t="str">
            <v>750CT Upright Filter Assembly with 2122 Element</v>
          </cell>
        </row>
        <row r="3067">
          <cell r="K3067" t="str">
            <v>750CT</v>
          </cell>
          <cell r="L3067" t="str">
            <v>HD</v>
          </cell>
          <cell r="M3067" t="str">
            <v>x</v>
          </cell>
          <cell r="N3067" t="e">
            <v>#N/A</v>
          </cell>
          <cell r="O3067" t="str">
            <v>750CT Upright Filter Assembly with 2122 Element</v>
          </cell>
        </row>
        <row r="3068">
          <cell r="K3068" t="str">
            <v>750CT</v>
          </cell>
          <cell r="L3068" t="str">
            <v>HD</v>
          </cell>
          <cell r="M3068" t="str">
            <v>x</v>
          </cell>
          <cell r="N3068" t="e">
            <v>#N/A</v>
          </cell>
          <cell r="O3068" t="str">
            <v>750CT Filter assembly with 2122 Element</v>
          </cell>
        </row>
        <row r="3069">
          <cell r="K3069" t="str">
            <v>BLK</v>
          </cell>
          <cell r="L3069" t="str">
            <v>HD</v>
          </cell>
          <cell r="M3069" t="str">
            <v>x</v>
          </cell>
          <cell r="N3069" t="e">
            <v>#N/A</v>
          </cell>
          <cell r="O3069" t="str">
            <v>750-C, CT Lower Housing Shell, Black/750-C, CT</v>
          </cell>
        </row>
        <row r="3070">
          <cell r="K3070" t="str">
            <v>750C</v>
          </cell>
          <cell r="L3070" t="str">
            <v>HD</v>
          </cell>
          <cell r="M3070" t="str">
            <v>x</v>
          </cell>
          <cell r="N3070" t="e">
            <v>#N/A</v>
          </cell>
          <cell r="O3070" t="str">
            <v>750C W/OUT PK</v>
          </cell>
        </row>
        <row r="3071">
          <cell r="K3071" t="str">
            <v>750-C</v>
          </cell>
          <cell r="L3071" t="str">
            <v>HD</v>
          </cell>
          <cell r="M3071" t="str">
            <v>x</v>
          </cell>
          <cell r="N3071" t="e">
            <v>#N/A</v>
          </cell>
          <cell r="O3071" t="str">
            <v>750C W/OUT PK</v>
          </cell>
        </row>
        <row r="3072">
          <cell r="K3072" t="str">
            <v>750-C</v>
          </cell>
          <cell r="L3072" t="str">
            <v>HD</v>
          </cell>
          <cell r="M3072" t="str">
            <v>x</v>
          </cell>
          <cell r="N3072" t="e">
            <v>#N/A</v>
          </cell>
          <cell r="O3072" t="str">
            <v>750C UNIT</v>
          </cell>
        </row>
        <row r="3073">
          <cell r="K3073" t="str">
            <v>LTTK55</v>
          </cell>
          <cell r="L3073" t="str">
            <v>HD</v>
          </cell>
          <cell r="M3073" t="str">
            <v>x</v>
          </cell>
          <cell r="N3073" t="e">
            <v>#N/A</v>
          </cell>
          <cell r="O3073" t="str">
            <v>750C to 750CT Converstion Kit</v>
          </cell>
        </row>
        <row r="3074">
          <cell r="K3074" t="str">
            <v>750-C</v>
          </cell>
          <cell r="L3074" t="str">
            <v>HD</v>
          </cell>
          <cell r="M3074" t="str">
            <v>x</v>
          </cell>
          <cell r="N3074" t="e">
            <v>#N/A</v>
          </cell>
          <cell r="O3074" t="str">
            <v>750C REFN UNT</v>
          </cell>
        </row>
        <row r="3075">
          <cell r="K3075" t="str">
            <v>2438857-1</v>
          </cell>
          <cell r="L3075" t="str">
            <v>HD</v>
          </cell>
          <cell r="M3075" t="str">
            <v>x</v>
          </cell>
          <cell r="N3075" t="e">
            <v>#N/A</v>
          </cell>
          <cell r="O3075" t="str">
            <v>750C REFINING</v>
          </cell>
        </row>
        <row r="3076">
          <cell r="K3076" t="str">
            <v>PKGD</v>
          </cell>
          <cell r="L3076" t="str">
            <v>HD</v>
          </cell>
          <cell r="M3076" t="str">
            <v>x</v>
          </cell>
          <cell r="N3076" t="e">
            <v>#N/A</v>
          </cell>
          <cell r="O3076" t="str">
            <v>750C NO CVALV</v>
          </cell>
        </row>
        <row r="3077">
          <cell r="K3077" t="str">
            <v>750C</v>
          </cell>
          <cell r="L3077" t="str">
            <v>HD</v>
          </cell>
          <cell r="M3077" t="str">
            <v>x</v>
          </cell>
          <cell r="N3077" t="e">
            <v>#N/A</v>
          </cell>
          <cell r="O3077" t="str">
            <v>750C DIESEL</v>
          </cell>
        </row>
        <row r="3078">
          <cell r="K3078" t="str">
            <v>PKGD</v>
          </cell>
          <cell r="L3078" t="str">
            <v>HD</v>
          </cell>
          <cell r="M3078" t="str">
            <v>x</v>
          </cell>
          <cell r="N3078" t="e">
            <v>#N/A</v>
          </cell>
          <cell r="O3078" t="str">
            <v>750-3C w/Floor Base &amp; 3 Imperial Diesel Packs</v>
          </cell>
        </row>
        <row r="3079">
          <cell r="K3079" t="str">
            <v>UNIT</v>
          </cell>
          <cell r="L3079" t="str">
            <v>HD</v>
          </cell>
          <cell r="M3079" t="str">
            <v>x</v>
          </cell>
          <cell r="N3079" t="e">
            <v>#N/A</v>
          </cell>
          <cell r="O3079" t="str">
            <v>750-2C w/Floor Base &amp; 2 Imperial Diesel Packs</v>
          </cell>
        </row>
        <row r="3080">
          <cell r="K3080" t="str">
            <v>750</v>
          </cell>
          <cell r="L3080" t="str">
            <v>HD</v>
          </cell>
          <cell r="M3080" t="str">
            <v>x</v>
          </cell>
          <cell r="N3080" t="e">
            <v>#N/A</v>
          </cell>
          <cell r="O3080" t="str">
            <v>750 IMP DISL</v>
          </cell>
        </row>
        <row r="3081">
          <cell r="K3081" t="str">
            <v>PKGD</v>
          </cell>
          <cell r="L3081" t="str">
            <v>HD</v>
          </cell>
          <cell r="M3081" t="str">
            <v>x</v>
          </cell>
          <cell r="N3081" t="e">
            <v>#N/A</v>
          </cell>
          <cell r="O3081" t="str">
            <v>750 GRAY UNIT</v>
          </cell>
        </row>
        <row r="3082">
          <cell r="K3082" t="str">
            <v>750</v>
          </cell>
          <cell r="L3082" t="str">
            <v>HD</v>
          </cell>
          <cell r="M3082" t="str">
            <v>x</v>
          </cell>
          <cell r="N3082" t="e">
            <v>#N/A</v>
          </cell>
          <cell r="O3082" t="str">
            <v>750 GRAY UNIT</v>
          </cell>
        </row>
        <row r="3083">
          <cell r="K3083" t="str">
            <v>5539</v>
          </cell>
          <cell r="L3083" t="str">
            <v>HD</v>
          </cell>
          <cell r="M3083" t="str">
            <v>x</v>
          </cell>
          <cell r="N3083" t="e">
            <v>#N/A</v>
          </cell>
          <cell r="O3083" t="str">
            <v>5539 GASKET</v>
          </cell>
        </row>
        <row r="3084">
          <cell r="K3084" t="str">
            <v>500CT</v>
          </cell>
          <cell r="L3084" t="str">
            <v>HD</v>
          </cell>
          <cell r="M3084" t="str">
            <v>x</v>
          </cell>
          <cell r="N3084" t="e">
            <v>#N/A</v>
          </cell>
          <cell r="O3084" t="str">
            <v>500T DRN/PLUG</v>
          </cell>
        </row>
        <row r="3085">
          <cell r="K3085" t="str">
            <v>500CT</v>
          </cell>
          <cell r="L3085" t="str">
            <v>HD</v>
          </cell>
          <cell r="M3085" t="str">
            <v>x</v>
          </cell>
          <cell r="N3085" t="e">
            <v>#N/A</v>
          </cell>
          <cell r="O3085" t="str">
            <v>500T DIESEL U</v>
          </cell>
        </row>
        <row r="3086">
          <cell r="K3086" t="str">
            <v>500CT</v>
          </cell>
          <cell r="L3086" t="str">
            <v>HD</v>
          </cell>
          <cell r="M3086" t="str">
            <v>x</v>
          </cell>
          <cell r="N3086" t="e">
            <v>#N/A</v>
          </cell>
          <cell r="O3086" t="str">
            <v>500CT Filter Assembly upright mount with 2095 Element</v>
          </cell>
        </row>
        <row r="3087">
          <cell r="K3087" t="str">
            <v>500CT</v>
          </cell>
          <cell r="L3087" t="str">
            <v>HD</v>
          </cell>
          <cell r="M3087" t="str">
            <v>x</v>
          </cell>
          <cell r="N3087" t="e">
            <v>#N/A</v>
          </cell>
          <cell r="O3087" t="str">
            <v>500CT Filter Assembly upright mount with 2095 Element</v>
          </cell>
        </row>
        <row r="3088">
          <cell r="K3088" t="str">
            <v>500CT</v>
          </cell>
          <cell r="L3088" t="str">
            <v>HD</v>
          </cell>
          <cell r="M3088" t="str">
            <v>x</v>
          </cell>
          <cell r="N3088" t="e">
            <v>#N/A</v>
          </cell>
          <cell r="O3088" t="str">
            <v>500CT Filter Assembly upright mount with 2095 Element</v>
          </cell>
        </row>
        <row r="3089">
          <cell r="K3089">
            <v>500</v>
          </cell>
          <cell r="L3089" t="str">
            <v>HD</v>
          </cell>
          <cell r="M3089" t="str">
            <v>x</v>
          </cell>
          <cell r="N3089" t="e">
            <v>#N/A</v>
          </cell>
          <cell r="O3089" t="str">
            <v>500-C Lower Housing Shell w/Retaining Ring Only</v>
          </cell>
        </row>
        <row r="3090">
          <cell r="K3090">
            <v>500</v>
          </cell>
          <cell r="L3090" t="str">
            <v>HD</v>
          </cell>
          <cell r="M3090" t="str">
            <v>x</v>
          </cell>
          <cell r="N3090" t="e">
            <v>#N/A</v>
          </cell>
          <cell r="O3090" t="str">
            <v xml:space="preserve">500 DEHYD REF FILTER PACK     </v>
          </cell>
        </row>
        <row r="3091">
          <cell r="K3091" t="str">
            <v>312510-1</v>
          </cell>
          <cell r="L3091" t="str">
            <v>HD</v>
          </cell>
          <cell r="M3091" t="str">
            <v>x</v>
          </cell>
          <cell r="N3091" t="e">
            <v>#N/A</v>
          </cell>
          <cell r="O3091" t="str">
            <v>312510-1 TANK</v>
          </cell>
        </row>
        <row r="3092">
          <cell r="K3092" t="str">
            <v>272</v>
          </cell>
          <cell r="L3092" t="str">
            <v>HD</v>
          </cell>
          <cell r="M3092" t="str">
            <v>x</v>
          </cell>
          <cell r="N3092" t="e">
            <v>#N/A</v>
          </cell>
          <cell r="O3092" t="str">
            <v>272 RF HYDRO Filter</v>
          </cell>
        </row>
        <row r="3093">
          <cell r="K3093" t="str">
            <v>LAF4205</v>
          </cell>
          <cell r="L3093" t="str">
            <v>HD</v>
          </cell>
          <cell r="M3093" t="str">
            <v>x</v>
          </cell>
          <cell r="N3093" t="e">
            <v>#N/A</v>
          </cell>
          <cell r="O3093" t="str">
            <v>Round Air Filter</v>
          </cell>
        </row>
        <row r="3094">
          <cell r="K3094" t="str">
            <v>LAF4361</v>
          </cell>
          <cell r="L3094" t="str">
            <v>HD</v>
          </cell>
          <cell r="M3094" t="str">
            <v>x</v>
          </cell>
          <cell r="N3094" t="e">
            <v>#N/A</v>
          </cell>
          <cell r="O3094" t="str">
            <v>Round Air Filter</v>
          </cell>
        </row>
        <row r="3095">
          <cell r="K3095" t="str">
            <v>LAF4317</v>
          </cell>
          <cell r="L3095" t="str">
            <v>HD</v>
          </cell>
          <cell r="M3095" t="str">
            <v>x</v>
          </cell>
          <cell r="N3095" t="e">
            <v>#N/A</v>
          </cell>
          <cell r="O3095" t="str">
            <v>HD Metal-End Inner Air Filter</v>
          </cell>
        </row>
        <row r="3096">
          <cell r="K3096" t="str">
            <v>LAF8605</v>
          </cell>
          <cell r="L3096" t="str">
            <v>HD</v>
          </cell>
          <cell r="M3096" t="str">
            <v>x</v>
          </cell>
          <cell r="N3096" t="e">
            <v>#N/A</v>
          </cell>
          <cell r="O3096" t="str">
            <v>HD Metal-End Air Filter-Inner</v>
          </cell>
        </row>
        <row r="3097">
          <cell r="K3097" t="str">
            <v>LAF1937</v>
          </cell>
          <cell r="L3097" t="str">
            <v>HD</v>
          </cell>
          <cell r="M3097" t="str">
            <v>x</v>
          </cell>
          <cell r="N3097" t="e">
            <v>#N/A</v>
          </cell>
          <cell r="O3097" t="str">
            <v>Finned Vane Air Filter</v>
          </cell>
        </row>
        <row r="3098">
          <cell r="K3098" t="str">
            <v>LAF5082</v>
          </cell>
          <cell r="L3098" t="str">
            <v>HD</v>
          </cell>
          <cell r="M3098" t="str">
            <v>x</v>
          </cell>
          <cell r="N3098" t="str">
            <v>LAF5082</v>
          </cell>
          <cell r="O3098" t="str">
            <v>Round Inner Air Filter with Flanged Endcap</v>
          </cell>
        </row>
        <row r="3099">
          <cell r="K3099" t="str">
            <v>LH5739</v>
          </cell>
          <cell r="L3099" t="str">
            <v>HD</v>
          </cell>
          <cell r="M3099" t="str">
            <v>x</v>
          </cell>
          <cell r="N3099" t="e">
            <v>#N/A</v>
          </cell>
          <cell r="O3099" t="str">
            <v>Cartridge Hydraulic Filter</v>
          </cell>
        </row>
        <row r="3100">
          <cell r="K3100" t="str">
            <v>LP2225</v>
          </cell>
          <cell r="L3100" t="str">
            <v>HD</v>
          </cell>
          <cell r="M3100" t="str">
            <v>x</v>
          </cell>
          <cell r="N3100" t="e">
            <v>#N/A</v>
          </cell>
          <cell r="O3100" t="str">
            <v>Cartridge Oil Filter</v>
          </cell>
        </row>
        <row r="3101">
          <cell r="K3101" t="str">
            <v>LAF1743</v>
          </cell>
          <cell r="L3101" t="str">
            <v>HD</v>
          </cell>
          <cell r="M3101" t="str">
            <v>x</v>
          </cell>
          <cell r="N3101" t="e">
            <v>#N/A</v>
          </cell>
          <cell r="O3101" t="str">
            <v>HD Metal-End Air Filter</v>
          </cell>
        </row>
        <row r="3102">
          <cell r="K3102" t="str">
            <v>P72</v>
          </cell>
          <cell r="L3102" t="str">
            <v>HD</v>
          </cell>
          <cell r="N3102" t="e">
            <v>#N/A</v>
          </cell>
          <cell r="O3102" t="str">
            <v>Cartridge Oil Filter</v>
          </cell>
        </row>
        <row r="3103">
          <cell r="K3103" t="str">
            <v>LAF1886</v>
          </cell>
          <cell r="L3103" t="str">
            <v>HD</v>
          </cell>
          <cell r="M3103" t="str">
            <v>x</v>
          </cell>
          <cell r="N3103" t="e">
            <v>#N/A</v>
          </cell>
          <cell r="O3103" t="str">
            <v xml:space="preserve">HD Round Air Filter </v>
          </cell>
        </row>
        <row r="3104">
          <cell r="K3104" t="str">
            <v>LFF6338</v>
          </cell>
          <cell r="L3104" t="str">
            <v>HD</v>
          </cell>
          <cell r="M3104" t="str">
            <v>x</v>
          </cell>
          <cell r="N3104" t="e">
            <v>#N/A</v>
          </cell>
          <cell r="O3104" t="str">
            <v>Spin-on Fuel Water Separator Filter</v>
          </cell>
        </row>
        <row r="3105">
          <cell r="K3105" t="str">
            <v>LAF5800</v>
          </cell>
          <cell r="L3105" t="str">
            <v>HD</v>
          </cell>
          <cell r="M3105" t="str">
            <v>x</v>
          </cell>
          <cell r="N3105" t="e">
            <v>#N/A</v>
          </cell>
          <cell r="O3105" t="str">
            <v>Oval Air Filter</v>
          </cell>
        </row>
        <row r="3106">
          <cell r="K3106" t="str">
            <v>LAF8627</v>
          </cell>
          <cell r="L3106" t="str">
            <v>HD</v>
          </cell>
          <cell r="M3106" t="str">
            <v>x</v>
          </cell>
          <cell r="N3106" t="e">
            <v>#N/A</v>
          </cell>
          <cell r="O3106" t="str">
            <v>Finned Vane Air Filter</v>
          </cell>
        </row>
        <row r="3107">
          <cell r="K3107" t="str">
            <v>FW1</v>
          </cell>
          <cell r="L3107" t="str">
            <v>HD</v>
          </cell>
          <cell r="M3107" t="str">
            <v>x</v>
          </cell>
          <cell r="N3107" t="e">
            <v>#N/A</v>
          </cell>
          <cell r="O3107" t="str">
            <v>Band Wrench with Handle for 4" diameter filters.</v>
          </cell>
        </row>
        <row r="3108">
          <cell r="K3108" t="str">
            <v>750CT</v>
          </cell>
          <cell r="L3108" t="str">
            <v>HD</v>
          </cell>
          <cell r="M3108" t="str">
            <v>x</v>
          </cell>
          <cell r="N3108" t="e">
            <v>#N/A</v>
          </cell>
          <cell r="O3108" t="str">
            <v>750T W/OUT PK</v>
          </cell>
        </row>
        <row r="3109">
          <cell r="K3109" t="str">
            <v>750CT</v>
          </cell>
          <cell r="L3109" t="str">
            <v>HD</v>
          </cell>
          <cell r="M3109" t="str">
            <v>x</v>
          </cell>
          <cell r="N3109" t="e">
            <v>#N/A</v>
          </cell>
          <cell r="O3109" t="str">
            <v>750CT Upright Filter Assembly with 2122 Element</v>
          </cell>
        </row>
        <row r="3110">
          <cell r="K3110" t="str">
            <v>LAF5801</v>
          </cell>
          <cell r="L3110" t="str">
            <v>HD</v>
          </cell>
          <cell r="M3110" t="str">
            <v>x</v>
          </cell>
          <cell r="N3110" t="e">
            <v>#N/A</v>
          </cell>
          <cell r="O3110" t="str">
            <v>Flexible Panel Air Filter</v>
          </cell>
        </row>
        <row r="3111">
          <cell r="K3111" t="str">
            <v>FW3C</v>
          </cell>
          <cell r="L3111" t="str">
            <v>HD</v>
          </cell>
          <cell r="M3111" t="str">
            <v>x</v>
          </cell>
          <cell r="N3111" t="e">
            <v>#N/A</v>
          </cell>
          <cell r="O3111" t="str">
            <v>End Cap Filter Removal Wrench 3" 14 flute filter.</v>
          </cell>
        </row>
        <row r="3112">
          <cell r="K3112" t="str">
            <v>L2603F</v>
          </cell>
          <cell r="L3112" t="str">
            <v>HD</v>
          </cell>
          <cell r="M3112" t="str">
            <v>x</v>
          </cell>
          <cell r="N3112" t="e">
            <v>#N/A</v>
          </cell>
          <cell r="O3112" t="str">
            <v>Cartridge Fuel Filter</v>
          </cell>
        </row>
        <row r="3113">
          <cell r="K3113" t="str">
            <v>LAF340</v>
          </cell>
          <cell r="L3113" t="str">
            <v>HD</v>
          </cell>
          <cell r="M3113" t="str">
            <v>x</v>
          </cell>
          <cell r="N3113" t="e">
            <v>#N/A</v>
          </cell>
          <cell r="O3113" t="str">
            <v>Round Inner Air Filter with Flanged Endcap</v>
          </cell>
        </row>
        <row r="3114">
          <cell r="K3114" t="str">
            <v>LAF22105</v>
          </cell>
          <cell r="L3114" t="str">
            <v>HD</v>
          </cell>
          <cell r="M3114" t="str">
            <v>x</v>
          </cell>
          <cell r="N3114" t="e">
            <v>#N/A</v>
          </cell>
          <cell r="O3114" t="str">
            <v>HD Round Air Filter with non-woven Batt Media</v>
          </cell>
        </row>
        <row r="3115">
          <cell r="K3115" t="str">
            <v>LAF8310</v>
          </cell>
          <cell r="L3115" t="str">
            <v>HD</v>
          </cell>
          <cell r="M3115" t="str">
            <v>x</v>
          </cell>
          <cell r="N3115" t="e">
            <v>#N/A</v>
          </cell>
          <cell r="O3115" t="str">
            <v xml:space="preserve">Round Plastisol Air Filter </v>
          </cell>
        </row>
        <row r="3116">
          <cell r="K3116" t="str">
            <v>LAF1807</v>
          </cell>
          <cell r="L3116" t="str">
            <v>HD</v>
          </cell>
          <cell r="M3116" t="str">
            <v>x</v>
          </cell>
          <cell r="N3116" t="e">
            <v>#N/A</v>
          </cell>
          <cell r="O3116" t="str">
            <v>Metal-End Air Filter with Closed Top End Cap</v>
          </cell>
        </row>
        <row r="3117">
          <cell r="K3117" t="str">
            <v>LH11014V</v>
          </cell>
          <cell r="L3117" t="str">
            <v>HD</v>
          </cell>
          <cell r="M3117" t="str">
            <v>x</v>
          </cell>
          <cell r="N3117" t="e">
            <v>#N/A</v>
          </cell>
          <cell r="O3117" t="str">
            <v>Industrial Cartridge Hydraulic Filter</v>
          </cell>
        </row>
        <row r="3118">
          <cell r="K3118" t="str">
            <v>LAF1730</v>
          </cell>
          <cell r="L3118" t="str">
            <v>HD</v>
          </cell>
          <cell r="M3118" t="str">
            <v>x</v>
          </cell>
          <cell r="N3118" t="e">
            <v>#N/A</v>
          </cell>
          <cell r="O3118" t="str">
            <v>HD Round Air Filter with Attached Lid</v>
          </cell>
        </row>
        <row r="3119">
          <cell r="K3119" t="str">
            <v>LAF2738</v>
          </cell>
          <cell r="L3119" t="str">
            <v>HD</v>
          </cell>
          <cell r="M3119" t="str">
            <v>x</v>
          </cell>
          <cell r="N3119" t="e">
            <v>#N/A</v>
          </cell>
          <cell r="O3119" t="str">
            <v>HD Metal-End Inner Air Filter</v>
          </cell>
        </row>
        <row r="3120">
          <cell r="K3120" t="str">
            <v>LK78D</v>
          </cell>
          <cell r="L3120" t="str">
            <v>HD</v>
          </cell>
          <cell r="M3120" t="str">
            <v>x</v>
          </cell>
          <cell r="N3120" t="e">
            <v>#N/A</v>
          </cell>
          <cell r="O3120" t="str">
            <v>Detroit Diesel Engine Maintenance Kit</v>
          </cell>
        </row>
        <row r="3121">
          <cell r="K3121" t="str">
            <v>L6286F</v>
          </cell>
          <cell r="L3121" t="str">
            <v>HD</v>
          </cell>
          <cell r="M3121" t="str">
            <v>x</v>
          </cell>
          <cell r="N3121" t="e">
            <v>#N/A</v>
          </cell>
          <cell r="O3121" t="str">
            <v>Box Type Fuel Filter</v>
          </cell>
        </row>
        <row r="3122">
          <cell r="K3122" t="str">
            <v>LAF8516</v>
          </cell>
          <cell r="L3122" t="str">
            <v>HD</v>
          </cell>
          <cell r="M3122" t="str">
            <v>x</v>
          </cell>
          <cell r="N3122" t="e">
            <v>#N/A</v>
          </cell>
          <cell r="O3122" t="str">
            <v>HD Metal-End Air Filter-Inner</v>
          </cell>
        </row>
        <row r="3123">
          <cell r="K3123" t="str">
            <v>CAF24008XL</v>
          </cell>
          <cell r="L3123" t="str">
            <v>HD</v>
          </cell>
          <cell r="M3123" t="str">
            <v>x</v>
          </cell>
          <cell r="N3123" t="e">
            <v>#N/A</v>
          </cell>
          <cell r="O3123" t="str">
            <v>Cabin Air Filter (Carbon) Extreme Clean</v>
          </cell>
        </row>
        <row r="3124">
          <cell r="K3124" t="str">
            <v>LAF1969</v>
          </cell>
          <cell r="L3124" t="str">
            <v>HD</v>
          </cell>
          <cell r="M3124" t="str">
            <v>x</v>
          </cell>
          <cell r="N3124" t="e">
            <v>#N/A</v>
          </cell>
          <cell r="O3124" t="str">
            <v>Round Air Filter</v>
          </cell>
        </row>
        <row r="3125">
          <cell r="K3125" t="str">
            <v>LAF1904</v>
          </cell>
          <cell r="L3125" t="str">
            <v>HD</v>
          </cell>
          <cell r="M3125" t="str">
            <v>x</v>
          </cell>
          <cell r="N3125" t="e">
            <v>#N/A</v>
          </cell>
          <cell r="O3125" t="str">
            <v>HD Metal-End Air Filter</v>
          </cell>
        </row>
        <row r="3126">
          <cell r="K3126" t="str">
            <v>LFF8774</v>
          </cell>
          <cell r="L3126" t="str">
            <v>HD</v>
          </cell>
          <cell r="M3126" t="str">
            <v>x</v>
          </cell>
          <cell r="N3126" t="e">
            <v>#N/A</v>
          </cell>
          <cell r="O3126" t="str">
            <v>Spin-on Fuel Filter</v>
          </cell>
        </row>
        <row r="3127">
          <cell r="K3127" t="str">
            <v>THERMO</v>
          </cell>
          <cell r="L3127" t="str">
            <v>HD</v>
          </cell>
          <cell r="M3127" t="str">
            <v>x</v>
          </cell>
          <cell r="N3127" t="e">
            <v>#N/A</v>
          </cell>
          <cell r="O3127" t="str">
            <v>Pack Hold-down Assembly w/Thermostat/500-CT, 750-CT, (Inverted Units)</v>
          </cell>
        </row>
        <row r="3128">
          <cell r="K3128" t="str">
            <v>LAF1778</v>
          </cell>
          <cell r="L3128" t="str">
            <v>HD</v>
          </cell>
          <cell r="M3128" t="str">
            <v>x</v>
          </cell>
          <cell r="N3128" t="e">
            <v>#N/A</v>
          </cell>
          <cell r="O3128" t="str">
            <v>HD Metal-End Inner Air Filter</v>
          </cell>
        </row>
        <row r="3129">
          <cell r="K3129" t="str">
            <v>LP2220X</v>
          </cell>
          <cell r="L3129" t="str">
            <v>HD</v>
          </cell>
          <cell r="M3129" t="str">
            <v>x</v>
          </cell>
          <cell r="N3129" t="e">
            <v>#N/A</v>
          </cell>
          <cell r="O3129" t="str">
            <v>Cartridge Oil Filter</v>
          </cell>
        </row>
        <row r="3130">
          <cell r="K3130" t="str">
            <v>LK285C</v>
          </cell>
          <cell r="L3130" t="str">
            <v>HD</v>
          </cell>
          <cell r="M3130" t="str">
            <v>x</v>
          </cell>
          <cell r="N3130" t="e">
            <v>#N/A</v>
          </cell>
          <cell r="O3130" t="str">
            <v>Cummins Engine Maintenance Kit</v>
          </cell>
        </row>
        <row r="3131">
          <cell r="K3131" t="str">
            <v>LK315CA</v>
          </cell>
          <cell r="L3131" t="str">
            <v>HD</v>
          </cell>
          <cell r="M3131" t="str">
            <v>x</v>
          </cell>
          <cell r="N3131" t="e">
            <v>#N/A</v>
          </cell>
          <cell r="O3131" t="str">
            <v>Caterpillar Engine Maintenance Kit</v>
          </cell>
        </row>
        <row r="3132">
          <cell r="K3132" t="str">
            <v>LAF1939</v>
          </cell>
          <cell r="L3132" t="str">
            <v>HD</v>
          </cell>
          <cell r="M3132" t="str">
            <v>x</v>
          </cell>
          <cell r="N3132" t="e">
            <v>#N/A</v>
          </cell>
          <cell r="O3132" t="str">
            <v>HD Metal-End Air Filter</v>
          </cell>
        </row>
        <row r="3133">
          <cell r="K3133" t="str">
            <v>LFP943F</v>
          </cell>
          <cell r="L3133" t="str">
            <v>HD</v>
          </cell>
          <cell r="M3133" t="str">
            <v>x</v>
          </cell>
          <cell r="N3133" t="e">
            <v>#N/A</v>
          </cell>
          <cell r="O3133" t="str">
            <v>Spin-on Fuel Filter</v>
          </cell>
        </row>
        <row r="3134">
          <cell r="K3134" t="str">
            <v>LAF8643</v>
          </cell>
          <cell r="L3134" t="str">
            <v>HD</v>
          </cell>
          <cell r="M3134" t="str">
            <v>x</v>
          </cell>
          <cell r="N3134" t="e">
            <v>#N/A</v>
          </cell>
          <cell r="O3134" t="str">
            <v>HD Metal-End Air Filter-Inner</v>
          </cell>
        </row>
        <row r="3135">
          <cell r="K3135" t="str">
            <v>LAF1339</v>
          </cell>
          <cell r="L3135" t="str">
            <v>HD</v>
          </cell>
          <cell r="M3135" t="str">
            <v>x</v>
          </cell>
          <cell r="N3135" t="e">
            <v>#N/A</v>
          </cell>
          <cell r="O3135" t="str">
            <v>Cone Shaped Conical Air Filter</v>
          </cell>
        </row>
        <row r="3136">
          <cell r="K3136" t="str">
            <v>LP212</v>
          </cell>
          <cell r="L3136" t="str">
            <v>HD</v>
          </cell>
          <cell r="M3136" t="str">
            <v>x</v>
          </cell>
          <cell r="N3136" t="e">
            <v>#N/A</v>
          </cell>
          <cell r="O3136" t="str">
            <v>Cartridge Oil Filter</v>
          </cell>
        </row>
        <row r="3137">
          <cell r="K3137" t="str">
            <v>LH95107V</v>
          </cell>
          <cell r="L3137" t="str">
            <v>HD</v>
          </cell>
          <cell r="M3137" t="str">
            <v>x</v>
          </cell>
          <cell r="N3137" t="e">
            <v>#N/A</v>
          </cell>
          <cell r="O3137" t="str">
            <v>Cartridge Hydraulic Filter</v>
          </cell>
        </row>
        <row r="3138">
          <cell r="K3138" t="str">
            <v>L93FP</v>
          </cell>
          <cell r="L3138" t="str">
            <v>HD</v>
          </cell>
          <cell r="M3138" t="str">
            <v>x</v>
          </cell>
          <cell r="N3138" t="e">
            <v>#N/A</v>
          </cell>
          <cell r="O3138" t="str">
            <v>Cartridge Fuel Filter</v>
          </cell>
        </row>
        <row r="3139">
          <cell r="K3139" t="str">
            <v>L3441F</v>
          </cell>
          <cell r="L3139" t="str">
            <v>HD</v>
          </cell>
          <cell r="M3139" t="str">
            <v>x</v>
          </cell>
          <cell r="N3139" t="e">
            <v>#N/A</v>
          </cell>
          <cell r="O3139" t="str">
            <v>Snap-lock Fuel/Water Separator Filter</v>
          </cell>
        </row>
        <row r="3140">
          <cell r="K3140" t="str">
            <v>LAF8646</v>
          </cell>
          <cell r="L3140" t="str">
            <v>HD</v>
          </cell>
          <cell r="M3140" t="str">
            <v>x</v>
          </cell>
          <cell r="N3140" t="e">
            <v>#N/A</v>
          </cell>
          <cell r="O3140" t="str">
            <v>Finned Vane Air Filter</v>
          </cell>
        </row>
        <row r="3141">
          <cell r="K3141" t="str">
            <v>LGK2</v>
          </cell>
          <cell r="L3141" t="str">
            <v>HD</v>
          </cell>
          <cell r="M3141" t="str">
            <v>x</v>
          </cell>
          <cell r="N3141" t="e">
            <v>#N/A</v>
          </cell>
          <cell r="O3141" t="str">
            <v>Service Gasket Kit for A922 Spin-on Conversion Kit</v>
          </cell>
        </row>
        <row r="3142">
          <cell r="K3142" t="str">
            <v>CAF24017XL</v>
          </cell>
          <cell r="L3142" t="str">
            <v>HD</v>
          </cell>
          <cell r="M3142" t="str">
            <v>x</v>
          </cell>
          <cell r="N3142" t="e">
            <v>#N/A</v>
          </cell>
          <cell r="O3142" t="str">
            <v>Cabin Air Filter (Carbon) Extreme Clean</v>
          </cell>
        </row>
        <row r="3143">
          <cell r="K3143" t="str">
            <v>LK257C</v>
          </cell>
          <cell r="L3143" t="str">
            <v>HD</v>
          </cell>
          <cell r="M3143" t="str">
            <v>x</v>
          </cell>
          <cell r="N3143" t="e">
            <v>#N/A</v>
          </cell>
          <cell r="O3143" t="str">
            <v>Cummins Engine Maintenance Kit</v>
          </cell>
        </row>
        <row r="3144">
          <cell r="K3144" t="str">
            <v>LK295C</v>
          </cell>
          <cell r="L3144" t="str">
            <v>HD</v>
          </cell>
          <cell r="M3144" t="str">
            <v>x</v>
          </cell>
          <cell r="N3144" t="e">
            <v>#N/A</v>
          </cell>
          <cell r="O3144" t="str">
            <v>Cummins Engine Maintenance Kit</v>
          </cell>
        </row>
        <row r="3145">
          <cell r="K3145" t="str">
            <v>LK306C</v>
          </cell>
          <cell r="L3145" t="str">
            <v>HD</v>
          </cell>
          <cell r="M3145" t="str">
            <v>x</v>
          </cell>
          <cell r="N3145" t="e">
            <v>#N/A</v>
          </cell>
          <cell r="O3145" t="str">
            <v>Cummins Engine Maintenance Kit</v>
          </cell>
        </row>
        <row r="3146">
          <cell r="K3146" t="str">
            <v>LAF8389</v>
          </cell>
          <cell r="L3146" t="str">
            <v>HD</v>
          </cell>
          <cell r="M3146" t="str">
            <v>x</v>
          </cell>
          <cell r="N3146" t="e">
            <v>#N/A</v>
          </cell>
          <cell r="O3146" t="str">
            <v>HD Metal-End Air Filter</v>
          </cell>
        </row>
        <row r="3147">
          <cell r="K3147" t="str">
            <v>LFH5083</v>
          </cell>
          <cell r="L3147" t="str">
            <v>HD</v>
          </cell>
          <cell r="M3147" t="str">
            <v>x</v>
          </cell>
          <cell r="N3147" t="e">
            <v>#N/A</v>
          </cell>
          <cell r="O3147" t="str">
            <v>Spin-on Hydraulic Filter</v>
          </cell>
        </row>
        <row r="3148">
          <cell r="K3148" t="str">
            <v>LFP2274</v>
          </cell>
          <cell r="L3148" t="str">
            <v>HD</v>
          </cell>
          <cell r="M3148" t="str">
            <v>x</v>
          </cell>
          <cell r="N3148" t="e">
            <v>#N/A</v>
          </cell>
          <cell r="O3148" t="str">
            <v>Spin-on Oil Filter</v>
          </cell>
        </row>
        <row r="3149">
          <cell r="K3149" t="str">
            <v>LAF1949</v>
          </cell>
          <cell r="L3149" t="str">
            <v>HD</v>
          </cell>
          <cell r="M3149" t="str">
            <v>x</v>
          </cell>
          <cell r="N3149" t="e">
            <v>#N/A</v>
          </cell>
          <cell r="O3149" t="str">
            <v>Round Inner Air Filter</v>
          </cell>
        </row>
        <row r="3150">
          <cell r="K3150" t="str">
            <v>LFF3536</v>
          </cell>
          <cell r="L3150" t="str">
            <v>HD</v>
          </cell>
          <cell r="M3150" t="str">
            <v>x</v>
          </cell>
          <cell r="N3150" t="e">
            <v>#N/A</v>
          </cell>
          <cell r="O3150" t="str">
            <v>Spin-on Fuel Filter</v>
          </cell>
        </row>
        <row r="3151">
          <cell r="K3151">
            <v>1143</v>
          </cell>
          <cell r="L3151" t="str">
            <v>HD</v>
          </cell>
          <cell r="M3151" t="str">
            <v>x</v>
          </cell>
          <cell r="N3151" t="e">
            <v>#N/A</v>
          </cell>
          <cell r="O3151" t="str">
            <v>Replaces Wix 15661 gasket.</v>
          </cell>
        </row>
        <row r="3152">
          <cell r="K3152" t="str">
            <v>LAF8651</v>
          </cell>
          <cell r="L3152" t="str">
            <v>HD</v>
          </cell>
          <cell r="M3152" t="str">
            <v>x</v>
          </cell>
          <cell r="N3152" t="e">
            <v>#N/A</v>
          </cell>
          <cell r="O3152" t="str">
            <v>HD Metal-End Air Filter</v>
          </cell>
        </row>
        <row r="3153">
          <cell r="K3153" t="str">
            <v>CAF24014XL</v>
          </cell>
          <cell r="L3153" t="str">
            <v>HD</v>
          </cell>
          <cell r="M3153" t="str">
            <v>x</v>
          </cell>
          <cell r="N3153" t="e">
            <v>#N/A</v>
          </cell>
          <cell r="O3153" t="str">
            <v>Cabin Air Filter (Carbon) Extreme Clean</v>
          </cell>
        </row>
        <row r="3154">
          <cell r="K3154" t="str">
            <v>LFP2251</v>
          </cell>
          <cell r="L3154" t="str">
            <v>HD</v>
          </cell>
          <cell r="M3154" t="str">
            <v>x</v>
          </cell>
          <cell r="N3154" t="e">
            <v>#N/A</v>
          </cell>
          <cell r="O3154" t="str">
            <v>Spin-on Oil Filter</v>
          </cell>
        </row>
        <row r="3155">
          <cell r="K3155" t="str">
            <v>LAF8526</v>
          </cell>
          <cell r="L3155" t="str">
            <v>HD</v>
          </cell>
          <cell r="M3155" t="str">
            <v>x</v>
          </cell>
          <cell r="N3155" t="e">
            <v>#N/A</v>
          </cell>
          <cell r="O3155" t="str">
            <v>HD Metal-End Air Filter-Inner</v>
          </cell>
        </row>
        <row r="3156">
          <cell r="K3156" t="str">
            <v>LAF8203</v>
          </cell>
          <cell r="L3156" t="str">
            <v>HD</v>
          </cell>
          <cell r="M3156" t="str">
            <v>x</v>
          </cell>
          <cell r="N3156" t="e">
            <v>#N/A</v>
          </cell>
          <cell r="O3156" t="str">
            <v>Round Plastisol Air Filter</v>
          </cell>
        </row>
        <row r="3157">
          <cell r="K3157" t="str">
            <v>LAF8647</v>
          </cell>
          <cell r="L3157" t="str">
            <v>HD</v>
          </cell>
          <cell r="M3157" t="str">
            <v>x</v>
          </cell>
          <cell r="N3157" t="e">
            <v>#N/A</v>
          </cell>
          <cell r="O3157" t="str">
            <v>HD Metal-End Air Filter with Attached Lid</v>
          </cell>
        </row>
        <row r="3158">
          <cell r="K3158" t="str">
            <v>LFH8417G</v>
          </cell>
          <cell r="L3158" t="str">
            <v>HD</v>
          </cell>
          <cell r="M3158" t="str">
            <v>x</v>
          </cell>
          <cell r="N3158" t="e">
            <v>#N/A</v>
          </cell>
          <cell r="O3158" t="str">
            <v>Spin-on Hydraulic Filter</v>
          </cell>
        </row>
        <row r="3159">
          <cell r="K3159" t="str">
            <v>LFH4223XL</v>
          </cell>
          <cell r="L3159" t="str">
            <v>HD</v>
          </cell>
          <cell r="M3159" t="str">
            <v>x</v>
          </cell>
          <cell r="N3159" t="e">
            <v>#N/A</v>
          </cell>
          <cell r="O3159" t="str">
            <v>Extended Life Hydraulic Spin-on Filter</v>
          </cell>
        </row>
        <row r="3160">
          <cell r="K3160" t="str">
            <v>LK339C</v>
          </cell>
          <cell r="L3160" t="str">
            <v>HD</v>
          </cell>
          <cell r="M3160" t="str">
            <v>x</v>
          </cell>
          <cell r="N3160" t="e">
            <v>#N/A</v>
          </cell>
          <cell r="O3160" t="str">
            <v>Cummins Engine Maintenance Kit</v>
          </cell>
        </row>
        <row r="3161">
          <cell r="K3161" t="str">
            <v>LAF1892</v>
          </cell>
          <cell r="L3161" t="str">
            <v>HD</v>
          </cell>
          <cell r="M3161" t="str">
            <v>x</v>
          </cell>
          <cell r="N3161" t="e">
            <v>#N/A</v>
          </cell>
          <cell r="O3161" t="str">
            <v>Cone Shaped Conical Air Filter</v>
          </cell>
        </row>
        <row r="3162">
          <cell r="K3162" t="str">
            <v>L3525F</v>
          </cell>
          <cell r="L3162" t="str">
            <v>HD</v>
          </cell>
          <cell r="M3162" t="str">
            <v>x</v>
          </cell>
          <cell r="N3162" t="e">
            <v>#N/A</v>
          </cell>
          <cell r="O3162" t="str">
            <v>Cartridge Fuel Filter</v>
          </cell>
        </row>
        <row r="3163">
          <cell r="K3163" t="str">
            <v>LH4234</v>
          </cell>
          <cell r="L3163" t="str">
            <v>HD</v>
          </cell>
          <cell r="M3163" t="str">
            <v>x</v>
          </cell>
          <cell r="N3163" t="e">
            <v>#N/A</v>
          </cell>
          <cell r="O3163" t="str">
            <v>Cartridge Hydraulic Filter</v>
          </cell>
        </row>
        <row r="3164">
          <cell r="K3164" t="str">
            <v>LFF6962</v>
          </cell>
          <cell r="L3164" t="str">
            <v>HD</v>
          </cell>
          <cell r="M3164" t="str">
            <v>x</v>
          </cell>
          <cell r="N3164" t="e">
            <v>#N/A</v>
          </cell>
          <cell r="O3164" t="str">
            <v>Spin-on Fuel Water Separator Filter</v>
          </cell>
        </row>
        <row r="3165">
          <cell r="K3165" t="str">
            <v>L50F</v>
          </cell>
          <cell r="L3165" t="str">
            <v>HD</v>
          </cell>
          <cell r="M3165" t="str">
            <v>x</v>
          </cell>
          <cell r="N3165" t="e">
            <v>#N/A</v>
          </cell>
          <cell r="O3165" t="str">
            <v>Cartridge Fuel Filter</v>
          </cell>
        </row>
        <row r="3166">
          <cell r="K3166" t="str">
            <v>L8852F</v>
          </cell>
          <cell r="L3166" t="str">
            <v>HD</v>
          </cell>
          <cell r="M3166" t="str">
            <v>x</v>
          </cell>
          <cell r="N3166" t="e">
            <v>#N/A</v>
          </cell>
          <cell r="O3166" t="str">
            <v>Cartridge Fuel Filter</v>
          </cell>
        </row>
        <row r="3167">
          <cell r="K3167" t="str">
            <v>LH4996</v>
          </cell>
          <cell r="L3167" t="str">
            <v>HD</v>
          </cell>
          <cell r="M3167" t="str">
            <v>x</v>
          </cell>
          <cell r="N3167" t="e">
            <v>#N/A</v>
          </cell>
          <cell r="O3167" t="str">
            <v>Cartridge Hydraulic Filter</v>
          </cell>
        </row>
        <row r="3168">
          <cell r="K3168" t="str">
            <v>LP613</v>
          </cell>
          <cell r="L3168" t="str">
            <v>HD</v>
          </cell>
          <cell r="M3168" t="str">
            <v>x</v>
          </cell>
          <cell r="N3168" t="e">
            <v>#N/A</v>
          </cell>
          <cell r="O3168" t="str">
            <v>Cartridge Oil Filter</v>
          </cell>
        </row>
        <row r="3169">
          <cell r="K3169" t="str">
            <v>LFF3368</v>
          </cell>
          <cell r="L3169" t="str">
            <v>HD</v>
          </cell>
          <cell r="M3169" t="str">
            <v>x</v>
          </cell>
          <cell r="N3169" t="e">
            <v>#N/A</v>
          </cell>
          <cell r="O3169" t="str">
            <v>Spin-on Fuel Filter</v>
          </cell>
        </row>
        <row r="3170">
          <cell r="K3170" t="str">
            <v>LFH5721</v>
          </cell>
          <cell r="L3170" t="str">
            <v>HD</v>
          </cell>
          <cell r="M3170" t="str">
            <v>x</v>
          </cell>
          <cell r="N3170" t="e">
            <v>#N/A</v>
          </cell>
          <cell r="O3170" t="str">
            <v>Spin-on Hydraulic Filter</v>
          </cell>
        </row>
        <row r="3171">
          <cell r="K3171" t="str">
            <v>LAF1816</v>
          </cell>
          <cell r="L3171" t="str">
            <v>HD</v>
          </cell>
          <cell r="M3171" t="str">
            <v>x</v>
          </cell>
          <cell r="N3171" t="e">
            <v>#N/A</v>
          </cell>
          <cell r="O3171" t="str">
            <v>HD Metal-End Inner Air Filter</v>
          </cell>
        </row>
        <row r="3172">
          <cell r="K3172" t="str">
            <v>LH4261</v>
          </cell>
          <cell r="L3172" t="str">
            <v>HD</v>
          </cell>
          <cell r="M3172" t="str">
            <v>x</v>
          </cell>
          <cell r="N3172" t="e">
            <v>#N/A</v>
          </cell>
          <cell r="O3172" t="str">
            <v>Cartridge Power Steering (Hydraulic) Filter</v>
          </cell>
        </row>
        <row r="3173">
          <cell r="K3173" t="str">
            <v>LAF5569</v>
          </cell>
          <cell r="L3173" t="str">
            <v>HD</v>
          </cell>
          <cell r="M3173" t="str">
            <v>x</v>
          </cell>
          <cell r="N3173" t="e">
            <v>#N/A</v>
          </cell>
          <cell r="O3173" t="str">
            <v>Radial Seal Inner Air Filter</v>
          </cell>
        </row>
        <row r="3174">
          <cell r="K3174" t="str">
            <v>LFP911G</v>
          </cell>
          <cell r="L3174" t="str">
            <v>HD</v>
          </cell>
          <cell r="M3174" t="str">
            <v>x</v>
          </cell>
          <cell r="N3174" t="e">
            <v>#N/A</v>
          </cell>
          <cell r="O3174" t="str">
            <v>Extended Life Spin-on Oil Filter</v>
          </cell>
        </row>
        <row r="3175">
          <cell r="K3175" t="str">
            <v>L2020FN-2</v>
          </cell>
          <cell r="L3175" t="str">
            <v>HD</v>
          </cell>
          <cell r="M3175" t="str">
            <v>x</v>
          </cell>
          <cell r="N3175" t="e">
            <v>#N/A</v>
          </cell>
          <cell r="O3175" t="str">
            <v>Cartridge Fuel Filter</v>
          </cell>
        </row>
        <row r="3176">
          <cell r="K3176" t="str">
            <v>LH95279V</v>
          </cell>
          <cell r="L3176" t="str">
            <v>HD</v>
          </cell>
          <cell r="M3176" t="str">
            <v>x</v>
          </cell>
          <cell r="N3176" t="e">
            <v>#N/A</v>
          </cell>
          <cell r="O3176" t="str">
            <v>Cartridge Hydraulic Filter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S138"/>
  <sheetViews>
    <sheetView showGridLines="0" tabSelected="1" zoomScaleNormal="10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F6" sqref="F6"/>
    </sheetView>
  </sheetViews>
  <sheetFormatPr defaultColWidth="9.140625" defaultRowHeight="15" x14ac:dyDescent="0.25"/>
  <cols>
    <col min="1" max="1" width="12.42578125" style="4" customWidth="1"/>
    <col min="2" max="2" width="10.28515625" style="4" customWidth="1"/>
    <col min="3" max="3" width="14.5703125" style="14" customWidth="1"/>
    <col min="4" max="4" width="8.7109375" style="14" customWidth="1"/>
    <col min="5" max="5" width="45.7109375" style="4" bestFit="1" customWidth="1"/>
    <col min="6" max="6" width="57.42578125" style="11" customWidth="1"/>
    <col min="7" max="7" width="16.140625" style="11" customWidth="1"/>
    <col min="8" max="8" width="9.7109375" style="11" bestFit="1" customWidth="1"/>
    <col min="9" max="9" width="15" style="11" customWidth="1"/>
    <col min="10" max="10" width="30.140625" style="4" customWidth="1"/>
    <col min="11" max="11" width="18.42578125" style="4" customWidth="1"/>
    <col min="12" max="12" width="14" style="4" customWidth="1"/>
    <col min="13" max="13" width="14.28515625" style="4" customWidth="1"/>
    <col min="14" max="14" width="21" style="4" customWidth="1"/>
    <col min="15" max="15" width="10.7109375" style="4" customWidth="1"/>
    <col min="16" max="16" width="13.42578125" style="4" customWidth="1"/>
    <col min="17" max="17" width="13.28515625" style="4" customWidth="1"/>
    <col min="18" max="18" width="13.42578125" style="4" customWidth="1"/>
    <col min="19" max="19" width="10.7109375" style="4" customWidth="1"/>
    <col min="20" max="20" width="13.42578125" style="4" customWidth="1"/>
    <col min="21" max="21" width="9.7109375" style="4" customWidth="1"/>
    <col min="22" max="41" width="13.140625" style="4" customWidth="1"/>
    <col min="42" max="42" width="11.42578125" style="4" customWidth="1"/>
    <col min="43" max="43" width="11.7109375" style="4" customWidth="1"/>
    <col min="44" max="44" width="9.7109375" style="4" customWidth="1"/>
    <col min="45" max="45" width="7.140625" style="4" customWidth="1"/>
    <col min="46" max="46" width="11.28515625" style="4" customWidth="1"/>
    <col min="47" max="47" width="9.42578125" style="4" customWidth="1"/>
    <col min="48" max="48" width="10.5703125" style="4" customWidth="1"/>
    <col min="49" max="50" width="8.42578125" style="4" customWidth="1"/>
    <col min="51" max="51" width="12.5703125" style="4" customWidth="1"/>
    <col min="52" max="52" width="7.7109375" style="4" customWidth="1"/>
    <col min="53" max="53" width="15.28515625" style="4" customWidth="1"/>
    <col min="54" max="54" width="10.28515625" style="4" customWidth="1"/>
    <col min="55" max="55" width="15.5703125" style="4" customWidth="1"/>
    <col min="56" max="56" width="9.5703125" style="4" customWidth="1"/>
    <col min="57" max="57" width="10.5703125" style="4" customWidth="1"/>
    <col min="58" max="58" width="8" style="4" customWidth="1"/>
    <col min="59" max="60" width="9.28515625" style="4" customWidth="1"/>
    <col min="61" max="62" width="14.140625" style="4" customWidth="1"/>
    <col min="63" max="63" width="10.28515625" style="4" customWidth="1"/>
    <col min="64" max="64" width="9" style="4" customWidth="1"/>
    <col min="65" max="65" width="17.7109375" style="4" bestFit="1" customWidth="1"/>
    <col min="66" max="66" width="15.140625" style="4" bestFit="1" customWidth="1"/>
    <col min="67" max="67" width="16.5703125" style="4" bestFit="1" customWidth="1"/>
    <col min="68" max="68" width="7" style="4" customWidth="1"/>
    <col min="69" max="69" width="6.5703125" style="4" customWidth="1"/>
    <col min="70" max="70" width="6.85546875" style="4" customWidth="1"/>
    <col min="71" max="71" width="7.140625" style="4" customWidth="1"/>
    <col min="72" max="72" width="6.85546875" style="4" customWidth="1"/>
    <col min="73" max="73" width="4.5703125" style="4" customWidth="1"/>
    <col min="74" max="74" width="7" style="4" customWidth="1"/>
    <col min="75" max="75" width="6.5703125" style="4" customWidth="1"/>
    <col min="76" max="76" width="6.85546875" style="4" customWidth="1"/>
    <col min="77" max="77" width="5.5703125" style="4" customWidth="1"/>
    <col min="78" max="78" width="7.5703125" style="4" customWidth="1"/>
    <col min="79" max="79" width="7" style="4" customWidth="1"/>
    <col min="80" max="80" width="6.5703125" style="4" customWidth="1"/>
    <col min="81" max="81" width="6.85546875" style="4" customWidth="1"/>
    <col min="82" max="82" width="6.28515625" style="4" customWidth="1"/>
    <col min="83" max="85" width="7.5703125" style="4" customWidth="1"/>
    <col min="86" max="86" width="17.85546875" style="4" customWidth="1"/>
    <col min="87" max="87" width="10.42578125" style="4" customWidth="1"/>
    <col min="88" max="88" width="12" style="4" customWidth="1"/>
    <col min="89" max="90" width="14.42578125" style="4" customWidth="1"/>
    <col min="91" max="91" width="13.28515625" style="4" customWidth="1"/>
    <col min="92" max="92" width="16.28515625" style="4" customWidth="1"/>
    <col min="93" max="93" width="22.28515625" style="4" customWidth="1"/>
    <col min="94" max="94" width="12.140625" style="4" hidden="1" customWidth="1"/>
    <col min="95" max="95" width="15.42578125" style="4" hidden="1" customWidth="1"/>
    <col min="96" max="96" width="12.42578125" style="4" hidden="1" customWidth="1"/>
    <col min="97" max="97" width="15.85546875" style="4" hidden="1" customWidth="1"/>
    <col min="98" max="102" width="9.140625" style="4" customWidth="1"/>
    <col min="103" max="16384" width="9.140625" style="4"/>
  </cols>
  <sheetData>
    <row r="1" spans="1:97" x14ac:dyDescent="0.25">
      <c r="F1" s="67" t="s">
        <v>84</v>
      </c>
      <c r="G1" s="67"/>
      <c r="H1" s="67"/>
      <c r="I1" s="67"/>
    </row>
    <row r="2" spans="1:97" ht="23.25" x14ac:dyDescent="0.25">
      <c r="F2" s="2" t="s">
        <v>2608</v>
      </c>
      <c r="G2" s="2"/>
      <c r="H2" s="2"/>
      <c r="I2" s="2"/>
      <c r="K2" s="2"/>
      <c r="L2" s="3"/>
    </row>
    <row r="3" spans="1:97" ht="20.25" x14ac:dyDescent="0.25">
      <c r="F3" s="30">
        <v>43553</v>
      </c>
      <c r="G3" s="30"/>
      <c r="H3" s="30"/>
      <c r="I3" s="30"/>
    </row>
    <row r="4" spans="1:97" ht="15.75" customHeight="1" x14ac:dyDescent="0.25">
      <c r="A4" s="473" t="s">
        <v>15</v>
      </c>
      <c r="B4" s="473"/>
      <c r="C4" s="473"/>
      <c r="D4" s="473"/>
      <c r="E4" s="473"/>
      <c r="F4" s="473"/>
      <c r="G4" s="408"/>
      <c r="H4" s="408"/>
      <c r="I4" s="408"/>
      <c r="J4" s="474" t="s">
        <v>13</v>
      </c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6" t="s">
        <v>14</v>
      </c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8"/>
      <c r="BM4" s="91" t="s">
        <v>61</v>
      </c>
      <c r="BN4" s="479" t="s">
        <v>17</v>
      </c>
      <c r="BO4" s="479"/>
      <c r="BP4" s="480" t="s">
        <v>64</v>
      </c>
      <c r="BQ4" s="480"/>
      <c r="BR4" s="480"/>
      <c r="BS4" s="480"/>
      <c r="BT4" s="480"/>
      <c r="BU4" s="480"/>
      <c r="BV4" s="467" t="s">
        <v>19</v>
      </c>
      <c r="BW4" s="468"/>
      <c r="BX4" s="468"/>
      <c r="BY4" s="468"/>
      <c r="BZ4" s="469"/>
      <c r="CA4" s="470" t="s">
        <v>25</v>
      </c>
      <c r="CB4" s="471"/>
      <c r="CC4" s="471"/>
      <c r="CD4" s="471"/>
      <c r="CE4" s="472"/>
      <c r="CF4" s="464" t="s">
        <v>31</v>
      </c>
      <c r="CG4" s="465"/>
      <c r="CH4" s="465"/>
      <c r="CI4" s="465"/>
      <c r="CJ4" s="465"/>
      <c r="CK4" s="465"/>
      <c r="CL4" s="465"/>
      <c r="CM4" s="465"/>
      <c r="CN4" s="465"/>
      <c r="CO4" s="466"/>
    </row>
    <row r="5" spans="1:97" ht="49.5" x14ac:dyDescent="0.25">
      <c r="A5" s="55" t="s">
        <v>68</v>
      </c>
      <c r="B5" s="56" t="s">
        <v>69</v>
      </c>
      <c r="C5" s="57" t="s">
        <v>0</v>
      </c>
      <c r="D5" s="58" t="s">
        <v>60</v>
      </c>
      <c r="E5" s="57" t="s">
        <v>2</v>
      </c>
      <c r="F5" s="59" t="s">
        <v>1</v>
      </c>
      <c r="G5" s="370" t="s">
        <v>2641</v>
      </c>
      <c r="H5" s="370" t="s">
        <v>2642</v>
      </c>
      <c r="I5" s="370" t="s">
        <v>2643</v>
      </c>
      <c r="J5" s="60" t="s">
        <v>3</v>
      </c>
      <c r="K5" s="383" t="s">
        <v>2563</v>
      </c>
      <c r="L5" s="61" t="s">
        <v>4</v>
      </c>
      <c r="M5" s="383" t="s">
        <v>2563</v>
      </c>
      <c r="N5" s="61" t="s">
        <v>5</v>
      </c>
      <c r="O5" s="383" t="s">
        <v>2563</v>
      </c>
      <c r="P5" s="61" t="s">
        <v>50</v>
      </c>
      <c r="Q5" s="383" t="s">
        <v>2563</v>
      </c>
      <c r="R5" s="61" t="s">
        <v>52</v>
      </c>
      <c r="S5" s="383" t="s">
        <v>2563</v>
      </c>
      <c r="T5" s="61" t="s">
        <v>53</v>
      </c>
      <c r="U5" s="383" t="s">
        <v>2563</v>
      </c>
      <c r="V5" s="61" t="s">
        <v>58</v>
      </c>
      <c r="W5" s="383" t="s">
        <v>2563</v>
      </c>
      <c r="X5" s="380" t="s">
        <v>2564</v>
      </c>
      <c r="Y5" s="383" t="s">
        <v>2563</v>
      </c>
      <c r="Z5" s="380" t="s">
        <v>2565</v>
      </c>
      <c r="AA5" s="383" t="s">
        <v>2563</v>
      </c>
      <c r="AB5" s="380" t="s">
        <v>2566</v>
      </c>
      <c r="AC5" s="383" t="s">
        <v>2563</v>
      </c>
      <c r="AD5" s="380" t="s">
        <v>2567</v>
      </c>
      <c r="AE5" s="383" t="s">
        <v>2563</v>
      </c>
      <c r="AF5" s="380" t="s">
        <v>2568</v>
      </c>
      <c r="AG5" s="383" t="s">
        <v>2563</v>
      </c>
      <c r="AH5" s="380" t="s">
        <v>2569</v>
      </c>
      <c r="AI5" s="383" t="s">
        <v>2563</v>
      </c>
      <c r="AJ5" s="380" t="s">
        <v>2570</v>
      </c>
      <c r="AK5" s="383" t="s">
        <v>2563</v>
      </c>
      <c r="AL5" s="380" t="s">
        <v>2571</v>
      </c>
      <c r="AM5" s="383" t="s">
        <v>2563</v>
      </c>
      <c r="AN5" s="380" t="s">
        <v>2572</v>
      </c>
      <c r="AO5" s="384" t="s">
        <v>2563</v>
      </c>
      <c r="AP5" s="52" t="s">
        <v>6</v>
      </c>
      <c r="AQ5" s="53" t="s">
        <v>44</v>
      </c>
      <c r="AR5" s="53" t="s">
        <v>7</v>
      </c>
      <c r="AS5" s="53" t="s">
        <v>33</v>
      </c>
      <c r="AT5" s="53" t="s">
        <v>8</v>
      </c>
      <c r="AU5" s="53" t="s">
        <v>45</v>
      </c>
      <c r="AV5" s="53" t="s">
        <v>9</v>
      </c>
      <c r="AW5" s="53" t="s">
        <v>49</v>
      </c>
      <c r="AX5" s="53" t="s">
        <v>10</v>
      </c>
      <c r="AY5" s="53" t="s">
        <v>48</v>
      </c>
      <c r="AZ5" s="53" t="s">
        <v>46</v>
      </c>
      <c r="BA5" s="53" t="s">
        <v>86</v>
      </c>
      <c r="BB5" s="53" t="s">
        <v>12</v>
      </c>
      <c r="BC5" s="53" t="s">
        <v>34</v>
      </c>
      <c r="BD5" s="53" t="s">
        <v>70</v>
      </c>
      <c r="BE5" s="53" t="s">
        <v>47</v>
      </c>
      <c r="BF5" s="53" t="s">
        <v>43</v>
      </c>
      <c r="BG5" s="53" t="s">
        <v>35</v>
      </c>
      <c r="BH5" s="53" t="s">
        <v>62</v>
      </c>
      <c r="BI5" s="53" t="s">
        <v>36</v>
      </c>
      <c r="BJ5" s="53" t="s">
        <v>75</v>
      </c>
      <c r="BK5" s="53" t="s">
        <v>37</v>
      </c>
      <c r="BL5" s="54" t="s">
        <v>11</v>
      </c>
      <c r="BM5" s="62" t="s">
        <v>18</v>
      </c>
      <c r="BN5" s="63" t="s">
        <v>16</v>
      </c>
      <c r="BO5" s="64" t="s">
        <v>51</v>
      </c>
      <c r="BP5" s="68" t="s">
        <v>20</v>
      </c>
      <c r="BQ5" s="69" t="s">
        <v>21</v>
      </c>
      <c r="BR5" s="69" t="s">
        <v>22</v>
      </c>
      <c r="BS5" s="69" t="s">
        <v>65</v>
      </c>
      <c r="BT5" s="69" t="s">
        <v>22</v>
      </c>
      <c r="BU5" s="70" t="s">
        <v>66</v>
      </c>
      <c r="BV5" s="65" t="s">
        <v>20</v>
      </c>
      <c r="BW5" s="48" t="s">
        <v>21</v>
      </c>
      <c r="BX5" s="48" t="s">
        <v>22</v>
      </c>
      <c r="BY5" s="48" t="s">
        <v>23</v>
      </c>
      <c r="BZ5" s="66" t="s">
        <v>24</v>
      </c>
      <c r="CA5" s="49" t="s">
        <v>20</v>
      </c>
      <c r="CB5" s="50" t="s">
        <v>21</v>
      </c>
      <c r="CC5" s="50" t="s">
        <v>22</v>
      </c>
      <c r="CD5" s="50" t="s">
        <v>23</v>
      </c>
      <c r="CE5" s="51" t="s">
        <v>24</v>
      </c>
      <c r="CF5" s="307" t="s">
        <v>2258</v>
      </c>
      <c r="CG5" s="307" t="s">
        <v>2259</v>
      </c>
      <c r="CH5" s="308" t="s">
        <v>42</v>
      </c>
      <c r="CI5" s="309" t="s">
        <v>26</v>
      </c>
      <c r="CJ5" s="309" t="s">
        <v>27</v>
      </c>
      <c r="CK5" s="309" t="s">
        <v>28</v>
      </c>
      <c r="CL5" s="309" t="s">
        <v>29</v>
      </c>
      <c r="CM5" s="309" t="s">
        <v>30</v>
      </c>
      <c r="CN5" s="309" t="s">
        <v>32</v>
      </c>
      <c r="CO5" s="310" t="s">
        <v>41</v>
      </c>
      <c r="CP5" s="8" t="s">
        <v>38</v>
      </c>
      <c r="CQ5" s="8" t="s">
        <v>39</v>
      </c>
      <c r="CR5" s="8" t="s">
        <v>40</v>
      </c>
    </row>
    <row r="6" spans="1:97" x14ac:dyDescent="0.25">
      <c r="A6" s="393">
        <v>43545</v>
      </c>
      <c r="B6" s="453" t="s">
        <v>12</v>
      </c>
      <c r="C6" s="31" t="s">
        <v>3220</v>
      </c>
      <c r="D6" s="453" t="s">
        <v>54</v>
      </c>
      <c r="E6" s="394" t="s">
        <v>3221</v>
      </c>
      <c r="F6" s="404" t="s">
        <v>3224</v>
      </c>
      <c r="G6" s="407">
        <v>124434</v>
      </c>
      <c r="H6" s="404" t="s">
        <v>2638</v>
      </c>
      <c r="I6" s="404" t="s">
        <v>135</v>
      </c>
      <c r="J6" s="453" t="s">
        <v>520</v>
      </c>
      <c r="K6" s="453" t="s">
        <v>3222</v>
      </c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31"/>
      <c r="AO6" s="31"/>
      <c r="AP6" s="31"/>
      <c r="AQ6" s="33"/>
      <c r="AR6" s="31"/>
      <c r="AS6" s="33"/>
      <c r="AT6" s="25"/>
      <c r="AU6" s="41"/>
      <c r="AV6" s="453"/>
      <c r="AW6" s="41"/>
      <c r="AX6" s="453"/>
      <c r="AY6" s="453"/>
      <c r="AZ6" s="453"/>
      <c r="BA6" s="453"/>
      <c r="BB6" s="453"/>
      <c r="BC6" s="453"/>
      <c r="BD6" s="453"/>
      <c r="BE6" s="31"/>
      <c r="BF6" s="453"/>
      <c r="BG6" s="453"/>
      <c r="BH6" s="453"/>
      <c r="BI6" s="453"/>
      <c r="BJ6" s="25"/>
      <c r="BK6" s="171"/>
      <c r="BL6" s="454"/>
      <c r="BM6" s="171">
        <v>26.17</v>
      </c>
      <c r="BN6" s="396" t="s">
        <v>3225</v>
      </c>
      <c r="BO6" s="397">
        <v>10038568746303</v>
      </c>
      <c r="BP6" s="47">
        <v>7.36</v>
      </c>
      <c r="BQ6" s="47">
        <v>0.59</v>
      </c>
      <c r="BR6" s="47">
        <v>12.44</v>
      </c>
      <c r="BS6" s="149"/>
      <c r="BT6" s="149"/>
      <c r="BU6" s="149"/>
      <c r="BV6" s="47">
        <v>7.6769999999999996</v>
      </c>
      <c r="BW6" s="47">
        <v>0.70799999999999996</v>
      </c>
      <c r="BX6" s="47">
        <v>12.795</v>
      </c>
      <c r="BY6" s="47">
        <v>4.0245870000000003E-2</v>
      </c>
      <c r="BZ6" s="47">
        <v>0.22</v>
      </c>
      <c r="CA6" s="399">
        <v>13.07</v>
      </c>
      <c r="CB6" s="399">
        <v>7.95</v>
      </c>
      <c r="CC6" s="399">
        <v>2.5099999999999998</v>
      </c>
      <c r="CD6" s="47">
        <v>0.15092</v>
      </c>
      <c r="CE6" s="398">
        <v>0.51</v>
      </c>
      <c r="CF6" s="398">
        <v>0.49</v>
      </c>
      <c r="CG6" s="398">
        <f>CF6*3</f>
        <v>1.47</v>
      </c>
      <c r="CH6" s="75" t="s">
        <v>2424</v>
      </c>
      <c r="CI6" s="75">
        <v>3</v>
      </c>
      <c r="CJ6" s="75">
        <v>15</v>
      </c>
      <c r="CK6" s="75">
        <v>21</v>
      </c>
      <c r="CL6" s="154">
        <v>945</v>
      </c>
      <c r="CM6" s="154">
        <f>CL6*CF6</f>
        <v>463.05</v>
      </c>
      <c r="CN6" s="75" t="s">
        <v>165</v>
      </c>
      <c r="CO6" s="25" t="s">
        <v>141</v>
      </c>
      <c r="CP6" s="14"/>
      <c r="CQ6" s="14"/>
    </row>
    <row r="7" spans="1:97" ht="24" x14ac:dyDescent="0.25">
      <c r="A7" s="393">
        <v>43553</v>
      </c>
      <c r="B7" s="455" t="s">
        <v>12</v>
      </c>
      <c r="C7" s="31" t="s">
        <v>3226</v>
      </c>
      <c r="D7" s="455" t="s">
        <v>54</v>
      </c>
      <c r="E7" s="394" t="s">
        <v>2440</v>
      </c>
      <c r="F7" s="404" t="s">
        <v>3237</v>
      </c>
      <c r="G7" s="407">
        <v>30000</v>
      </c>
      <c r="H7" s="404" t="s">
        <v>2638</v>
      </c>
      <c r="I7" s="404" t="s">
        <v>135</v>
      </c>
      <c r="J7" s="455" t="s">
        <v>3227</v>
      </c>
      <c r="K7" s="455">
        <v>7008043</v>
      </c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31" t="s">
        <v>3228</v>
      </c>
      <c r="AQ7" s="31"/>
      <c r="AR7" s="31"/>
      <c r="AS7" s="33"/>
      <c r="AT7" s="33" t="s">
        <v>3229</v>
      </c>
      <c r="AU7" s="33"/>
      <c r="AV7" s="25" t="s">
        <v>3230</v>
      </c>
      <c r="AW7" s="41"/>
      <c r="AX7" s="455"/>
      <c r="AY7" s="41"/>
      <c r="AZ7" s="455"/>
      <c r="BA7" s="455"/>
      <c r="BB7" s="455"/>
      <c r="BC7" s="455"/>
      <c r="BD7" s="455"/>
      <c r="BE7" s="455"/>
      <c r="BF7" s="455"/>
      <c r="BG7" s="31"/>
      <c r="BH7" s="455"/>
      <c r="BI7" s="455"/>
      <c r="BJ7" s="455"/>
      <c r="BK7" s="455"/>
      <c r="BL7" s="25" t="s">
        <v>3231</v>
      </c>
      <c r="BM7" s="171">
        <v>48.24</v>
      </c>
      <c r="BN7" s="396" t="s">
        <v>3238</v>
      </c>
      <c r="BO7" s="397">
        <v>10038568746143</v>
      </c>
      <c r="BP7" s="149"/>
      <c r="BQ7" s="149"/>
      <c r="BR7" s="149"/>
      <c r="BS7" s="47">
        <v>11.42</v>
      </c>
      <c r="BT7" s="47">
        <v>19.53</v>
      </c>
      <c r="BU7" s="149"/>
      <c r="BV7" s="149"/>
      <c r="BW7" s="149"/>
      <c r="BX7" s="149"/>
      <c r="BY7" s="149"/>
      <c r="BZ7" s="149"/>
      <c r="CA7" s="399">
        <v>20.52</v>
      </c>
      <c r="CB7" s="399">
        <v>12.52</v>
      </c>
      <c r="CC7" s="399">
        <v>12.86</v>
      </c>
      <c r="CD7" s="47">
        <v>0.52302349999999997</v>
      </c>
      <c r="CE7" s="398">
        <v>2</v>
      </c>
      <c r="CF7" s="398">
        <v>8.6</v>
      </c>
      <c r="CG7" s="398">
        <v>8.6</v>
      </c>
      <c r="CH7" s="75" t="s">
        <v>2466</v>
      </c>
      <c r="CI7" s="75">
        <v>1</v>
      </c>
      <c r="CJ7" s="75">
        <v>9</v>
      </c>
      <c r="CK7" s="75">
        <v>2</v>
      </c>
      <c r="CL7" s="154">
        <v>18</v>
      </c>
      <c r="CM7" s="154">
        <f>CL7*CF7</f>
        <v>154.79999999999998</v>
      </c>
      <c r="CN7" s="75" t="s">
        <v>257</v>
      </c>
      <c r="CO7" s="25" t="s">
        <v>137</v>
      </c>
      <c r="CP7" s="10"/>
      <c r="CQ7" s="14"/>
      <c r="CR7" s="14"/>
      <c r="CS7" s="14"/>
    </row>
    <row r="8" spans="1:97" ht="24" x14ac:dyDescent="0.25">
      <c r="A8" s="393">
        <v>43553</v>
      </c>
      <c r="B8" s="455" t="s">
        <v>12</v>
      </c>
      <c r="C8" s="31" t="s">
        <v>3232</v>
      </c>
      <c r="D8" s="455" t="s">
        <v>54</v>
      </c>
      <c r="E8" s="404" t="s">
        <v>2440</v>
      </c>
      <c r="F8" s="404" t="s">
        <v>3233</v>
      </c>
      <c r="G8" s="407">
        <v>46208</v>
      </c>
      <c r="H8" s="404" t="s">
        <v>2638</v>
      </c>
      <c r="I8" s="404" t="s">
        <v>135</v>
      </c>
      <c r="J8" s="455" t="s">
        <v>3234</v>
      </c>
      <c r="K8" s="455">
        <v>10004113</v>
      </c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31" t="s">
        <v>3235</v>
      </c>
      <c r="AQ8" s="31"/>
      <c r="AR8" s="31"/>
      <c r="AS8" s="33"/>
      <c r="AT8" s="31"/>
      <c r="AU8" s="33"/>
      <c r="AV8" s="25"/>
      <c r="AW8" s="41"/>
      <c r="AX8" s="455"/>
      <c r="AY8" s="41"/>
      <c r="AZ8" s="455"/>
      <c r="BA8" s="455"/>
      <c r="BB8" s="455"/>
      <c r="BC8" s="455"/>
      <c r="BD8" s="455"/>
      <c r="BE8" s="455"/>
      <c r="BF8" s="455"/>
      <c r="BG8" s="31"/>
      <c r="BH8" s="455"/>
      <c r="BI8" s="455"/>
      <c r="BJ8" s="455"/>
      <c r="BK8" s="455"/>
      <c r="BL8" s="25" t="s">
        <v>3236</v>
      </c>
      <c r="BM8" s="171">
        <v>93.23</v>
      </c>
      <c r="BN8" s="396" t="s">
        <v>3239</v>
      </c>
      <c r="BO8" s="397">
        <v>10038568745764</v>
      </c>
      <c r="BP8" s="149"/>
      <c r="BQ8" s="149"/>
      <c r="BR8" s="149"/>
      <c r="BS8" s="47">
        <v>6.41</v>
      </c>
      <c r="BT8" s="47">
        <v>10.16</v>
      </c>
      <c r="BU8" s="149"/>
      <c r="BV8" s="149"/>
      <c r="BW8" s="149"/>
      <c r="BX8" s="149"/>
      <c r="BY8" s="149"/>
      <c r="BZ8" s="149"/>
      <c r="CA8" s="399">
        <v>6.84</v>
      </c>
      <c r="CB8" s="399">
        <v>6.84</v>
      </c>
      <c r="CC8" s="399">
        <v>13.18</v>
      </c>
      <c r="CD8" s="47">
        <v>2.8022979000000001</v>
      </c>
      <c r="CE8" s="398">
        <v>0.62</v>
      </c>
      <c r="CF8" s="398">
        <v>2.12</v>
      </c>
      <c r="CG8" s="398">
        <v>2.12</v>
      </c>
      <c r="CH8" s="75" t="s">
        <v>2466</v>
      </c>
      <c r="CI8" s="75">
        <v>1</v>
      </c>
      <c r="CJ8" s="75">
        <v>21</v>
      </c>
      <c r="CK8" s="75">
        <v>6</v>
      </c>
      <c r="CL8" s="154">
        <v>126</v>
      </c>
      <c r="CM8" s="154">
        <f>CL8*CG8</f>
        <v>267.12</v>
      </c>
      <c r="CN8" s="75" t="s">
        <v>257</v>
      </c>
      <c r="CO8" s="25" t="s">
        <v>137</v>
      </c>
      <c r="CP8" s="14"/>
      <c r="CQ8" s="14"/>
      <c r="CR8" s="14"/>
    </row>
    <row r="9" spans="1:97" s="14" customFormat="1" x14ac:dyDescent="0.25">
      <c r="C9" s="11"/>
      <c r="D9" s="12"/>
      <c r="E9" s="12"/>
      <c r="F9" s="12"/>
      <c r="G9" s="12"/>
      <c r="H9" s="12"/>
      <c r="I9" s="12"/>
      <c r="J9" s="12"/>
      <c r="K9" s="1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13"/>
      <c r="BN9" s="4"/>
      <c r="BO9" s="4"/>
      <c r="BP9" s="4"/>
      <c r="BQ9" s="4"/>
      <c r="BR9" s="4"/>
      <c r="BS9" s="4"/>
      <c r="BT9" s="4"/>
      <c r="BU9" s="4"/>
      <c r="BV9" s="9"/>
      <c r="BW9" s="9"/>
      <c r="BX9" s="9"/>
      <c r="BY9" s="4"/>
      <c r="BZ9" s="9"/>
      <c r="CA9" s="9"/>
      <c r="CB9" s="9"/>
      <c r="CC9" s="9"/>
      <c r="CD9" s="4"/>
      <c r="CE9" s="9"/>
      <c r="CF9" s="9"/>
      <c r="CG9" s="9"/>
      <c r="CH9" s="4"/>
      <c r="CI9" s="4"/>
      <c r="CJ9" s="4"/>
      <c r="CK9" s="4"/>
      <c r="CN9" s="4"/>
      <c r="CO9" s="10"/>
      <c r="CP9" s="4"/>
      <c r="CQ9" s="4"/>
      <c r="CR9" s="4"/>
    </row>
    <row r="10" spans="1:97" x14ac:dyDescent="0.25">
      <c r="A10" s="55" t="s">
        <v>68</v>
      </c>
      <c r="B10" s="56" t="s">
        <v>69</v>
      </c>
      <c r="C10" s="57" t="s">
        <v>0</v>
      </c>
      <c r="D10" s="58" t="s">
        <v>60</v>
      </c>
      <c r="E10" s="57" t="s">
        <v>2</v>
      </c>
      <c r="F10" s="5" t="s">
        <v>55</v>
      </c>
      <c r="G10" s="5"/>
      <c r="H10" s="5"/>
      <c r="I10" s="5"/>
      <c r="J10" s="7" t="s">
        <v>63</v>
      </c>
      <c r="K10" s="7" t="s">
        <v>76</v>
      </c>
      <c r="BM10" s="13"/>
      <c r="BV10" s="9"/>
      <c r="BW10" s="9"/>
      <c r="BX10" s="9"/>
      <c r="BZ10" s="9"/>
      <c r="CA10" s="9"/>
      <c r="CB10" s="9"/>
      <c r="CC10" s="9"/>
      <c r="CE10" s="9"/>
      <c r="CF10" s="9"/>
      <c r="CG10" s="9"/>
      <c r="CL10" s="14"/>
      <c r="CM10" s="14"/>
      <c r="CO10" s="10"/>
    </row>
    <row r="11" spans="1:97" x14ac:dyDescent="0.25">
      <c r="A11" s="359"/>
      <c r="B11" s="73"/>
      <c r="C11" s="72"/>
      <c r="D11" s="214"/>
      <c r="E11" s="214"/>
      <c r="F11" s="37"/>
      <c r="G11" s="37"/>
      <c r="H11" s="37"/>
      <c r="I11" s="37"/>
      <c r="J11" s="290"/>
      <c r="K11" s="371"/>
      <c r="BM11" s="13"/>
      <c r="BV11" s="9"/>
      <c r="BW11" s="9"/>
      <c r="BX11" s="9"/>
      <c r="BZ11" s="9"/>
      <c r="CA11" s="9"/>
      <c r="CB11" s="9"/>
      <c r="CC11" s="9"/>
      <c r="CE11" s="9"/>
      <c r="CF11" s="9"/>
      <c r="CG11" s="9"/>
      <c r="CL11" s="14"/>
      <c r="CM11" s="14"/>
      <c r="CO11" s="10"/>
    </row>
    <row r="12" spans="1:97" x14ac:dyDescent="0.25">
      <c r="A12" s="88"/>
      <c r="B12" s="73"/>
      <c r="C12" s="29"/>
      <c r="D12" s="15"/>
      <c r="E12" s="28"/>
      <c r="F12" s="37"/>
      <c r="G12" s="37"/>
      <c r="H12" s="37"/>
      <c r="I12" s="37"/>
      <c r="J12" s="76"/>
      <c r="K12" s="3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Q12" s="14"/>
      <c r="AR12" s="14"/>
      <c r="AS12" s="14"/>
      <c r="AT12" s="14"/>
      <c r="AU12" s="14"/>
      <c r="AZ12" s="14"/>
      <c r="BA12" s="14"/>
      <c r="BB12" s="14"/>
      <c r="BC12" s="14"/>
      <c r="BD12" s="14"/>
      <c r="BE12" s="14"/>
      <c r="BF12" s="14"/>
      <c r="BI12" s="14"/>
      <c r="BJ12" s="14"/>
      <c r="BK12" s="14"/>
      <c r="BL12" s="14"/>
      <c r="BM12" s="13"/>
      <c r="BO12" s="14"/>
      <c r="BP12" s="14"/>
      <c r="BQ12" s="14"/>
      <c r="BR12" s="14"/>
      <c r="BS12" s="14"/>
      <c r="BT12" s="14"/>
      <c r="BU12" s="14"/>
      <c r="BV12" s="9"/>
      <c r="BW12" s="9"/>
      <c r="BX12" s="9"/>
      <c r="BZ12" s="9"/>
      <c r="CA12" s="9"/>
      <c r="CB12" s="9"/>
      <c r="CC12" s="9"/>
      <c r="CE12" s="9"/>
      <c r="CF12" s="9"/>
      <c r="CG12" s="9"/>
      <c r="CJ12" s="14"/>
      <c r="CK12" s="14"/>
      <c r="CL12" s="14"/>
      <c r="CM12" s="14"/>
      <c r="CO12" s="10"/>
      <c r="CP12" s="14"/>
      <c r="CQ12" s="14"/>
      <c r="CR12" s="14"/>
    </row>
    <row r="13" spans="1:97" x14ac:dyDescent="0.25">
      <c r="C13" s="11"/>
      <c r="D13" s="12"/>
      <c r="E13" s="12"/>
      <c r="F13" s="12"/>
      <c r="G13" s="12"/>
      <c r="H13" s="12"/>
      <c r="I13" s="12"/>
      <c r="J13" s="12"/>
      <c r="K13" s="12"/>
      <c r="BN13" s="14"/>
      <c r="CM13" s="14"/>
      <c r="CO13" s="10"/>
    </row>
    <row r="14" spans="1:97" ht="7.5" customHeight="1" x14ac:dyDescent="0.25">
      <c r="A14" s="40"/>
      <c r="B14" s="40"/>
      <c r="C14" s="40"/>
      <c r="D14" s="18"/>
      <c r="E14" s="18"/>
      <c r="F14" s="18"/>
      <c r="G14" s="18"/>
      <c r="H14" s="18"/>
      <c r="I14" s="18"/>
      <c r="J14" s="18"/>
      <c r="K14" s="1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9"/>
      <c r="AQ14" s="20"/>
      <c r="AR14" s="20"/>
      <c r="AS14" s="20"/>
      <c r="AT14" s="20"/>
      <c r="AU14" s="20"/>
      <c r="AV14" s="19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1"/>
      <c r="BN14" s="19"/>
      <c r="BO14" s="20"/>
      <c r="BP14" s="20"/>
      <c r="BQ14" s="20"/>
      <c r="BR14" s="20"/>
      <c r="BS14" s="20"/>
      <c r="BT14" s="20"/>
      <c r="BU14" s="20"/>
      <c r="BV14" s="22"/>
      <c r="BW14" s="22"/>
      <c r="BX14" s="22"/>
      <c r="BY14" s="19"/>
      <c r="BZ14" s="22"/>
      <c r="CA14" s="22"/>
      <c r="CB14" s="22"/>
      <c r="CC14" s="22"/>
      <c r="CD14" s="19"/>
      <c r="CE14" s="22"/>
      <c r="CF14" s="22"/>
      <c r="CG14" s="22"/>
      <c r="CH14" s="19"/>
      <c r="CI14" s="19"/>
      <c r="CJ14" s="20"/>
      <c r="CK14" s="20"/>
      <c r="CL14" s="20"/>
      <c r="CM14" s="20"/>
      <c r="CN14" s="19"/>
      <c r="CO14" s="23"/>
      <c r="CP14" s="20"/>
      <c r="CQ14" s="14"/>
      <c r="CR14" s="14"/>
    </row>
    <row r="15" spans="1:97" ht="7.5" customHeight="1" x14ac:dyDescent="0.25">
      <c r="C15" s="11"/>
      <c r="D15" s="12"/>
      <c r="E15" s="12"/>
      <c r="F15" s="12"/>
      <c r="G15" s="12"/>
      <c r="H15" s="12"/>
      <c r="I15" s="12"/>
      <c r="J15" s="12"/>
      <c r="K15" s="1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Q15" s="14"/>
      <c r="AR15" s="14"/>
      <c r="AS15" s="14"/>
      <c r="AT15" s="14"/>
      <c r="AU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3"/>
      <c r="BO15" s="14"/>
      <c r="BP15" s="14"/>
      <c r="BQ15" s="14"/>
      <c r="BR15" s="14"/>
      <c r="BS15" s="14"/>
      <c r="BT15" s="14"/>
      <c r="BU15" s="14"/>
      <c r="BV15" s="9"/>
      <c r="BW15" s="9"/>
      <c r="BX15" s="9"/>
      <c r="BZ15" s="9"/>
      <c r="CA15" s="9"/>
      <c r="CB15" s="9"/>
      <c r="CC15" s="9"/>
      <c r="CE15" s="9"/>
      <c r="CF15" s="9"/>
      <c r="CG15" s="9"/>
      <c r="CJ15" s="14"/>
      <c r="CK15" s="14"/>
      <c r="CL15" s="14"/>
      <c r="CM15" s="14"/>
      <c r="CO15" s="10"/>
      <c r="CP15" s="14"/>
      <c r="CQ15" s="14"/>
      <c r="CR15" s="14"/>
    </row>
    <row r="16" spans="1:97" ht="23.25" x14ac:dyDescent="0.25">
      <c r="C16" s="11"/>
      <c r="D16" s="12"/>
      <c r="E16" s="12"/>
      <c r="F16" s="42" t="s">
        <v>57</v>
      </c>
      <c r="G16" s="42"/>
      <c r="H16" s="42"/>
      <c r="I16" s="42"/>
      <c r="K16" s="12"/>
      <c r="BN16" s="14"/>
      <c r="CM16" s="14"/>
      <c r="CO16" s="10"/>
    </row>
    <row r="17" spans="1:95" ht="16.5" customHeight="1" x14ac:dyDescent="0.25">
      <c r="C17" s="11"/>
      <c r="D17" s="12"/>
      <c r="E17" s="12"/>
      <c r="F17" s="12"/>
      <c r="G17" s="12"/>
      <c r="H17" s="12"/>
      <c r="I17" s="12"/>
      <c r="J17" s="17"/>
      <c r="K17" s="12"/>
      <c r="BN17" s="14"/>
      <c r="CM17" s="14"/>
      <c r="CO17" s="10"/>
    </row>
    <row r="18" spans="1:95" s="11" customFormat="1" x14ac:dyDescent="0.25">
      <c r="A18" s="55" t="s">
        <v>2511</v>
      </c>
      <c r="B18" s="56" t="s">
        <v>69</v>
      </c>
      <c r="C18" s="57" t="s">
        <v>0</v>
      </c>
      <c r="D18" s="58" t="s">
        <v>60</v>
      </c>
      <c r="E18" s="57" t="s">
        <v>2</v>
      </c>
      <c r="F18" s="409" t="s">
        <v>56</v>
      </c>
      <c r="G18" s="12"/>
      <c r="I18" s="86"/>
      <c r="J18" s="5"/>
      <c r="K18" s="5"/>
      <c r="L18" s="5"/>
      <c r="M18" s="6"/>
      <c r="N18" s="44"/>
      <c r="O18" s="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13"/>
      <c r="BL18" s="339"/>
      <c r="BM18" s="1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14"/>
      <c r="CM18" s="4"/>
      <c r="CN18" s="4"/>
      <c r="CO18" s="4"/>
      <c r="CP18" s="4"/>
      <c r="CQ18" s="4"/>
    </row>
    <row r="19" spans="1:95" s="11" customFormat="1" x14ac:dyDescent="0.25">
      <c r="A19" s="393">
        <v>43553</v>
      </c>
      <c r="B19" s="456" t="s">
        <v>12</v>
      </c>
      <c r="C19" s="24" t="s">
        <v>3240</v>
      </c>
      <c r="D19" s="456" t="s">
        <v>54</v>
      </c>
      <c r="E19" s="457" t="s">
        <v>2860</v>
      </c>
      <c r="F19" s="458" t="s">
        <v>3247</v>
      </c>
      <c r="G19" s="12"/>
      <c r="I19" s="86"/>
      <c r="K19" s="86"/>
      <c r="L19" s="42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</row>
    <row r="20" spans="1:95" s="11" customFormat="1" x14ac:dyDescent="0.25">
      <c r="A20" s="393">
        <v>43553</v>
      </c>
      <c r="B20" s="456" t="s">
        <v>12</v>
      </c>
      <c r="C20" s="14" t="s">
        <v>3241</v>
      </c>
      <c r="D20" s="456" t="s">
        <v>54</v>
      </c>
      <c r="E20" s="4" t="s">
        <v>2649</v>
      </c>
      <c r="F20" s="459" t="s">
        <v>67</v>
      </c>
      <c r="G20" s="12"/>
      <c r="I20" s="86"/>
      <c r="K20" s="460"/>
      <c r="L20" s="42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</row>
    <row r="21" spans="1:95" s="11" customFormat="1" ht="15.75" x14ac:dyDescent="0.25">
      <c r="A21" s="393">
        <v>43553</v>
      </c>
      <c r="B21" s="456" t="s">
        <v>12</v>
      </c>
      <c r="C21" s="223" t="s">
        <v>3242</v>
      </c>
      <c r="D21" s="456" t="s">
        <v>54</v>
      </c>
      <c r="E21" s="461" t="s">
        <v>2970</v>
      </c>
      <c r="F21" s="31" t="s">
        <v>67</v>
      </c>
      <c r="G21" s="419"/>
      <c r="I21" s="86"/>
      <c r="K21" s="86"/>
      <c r="L21" s="422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</row>
    <row r="22" spans="1:95" s="11" customFormat="1" x14ac:dyDescent="0.25">
      <c r="A22" s="393">
        <v>43553</v>
      </c>
      <c r="B22" s="456" t="s">
        <v>12</v>
      </c>
      <c r="C22" s="89" t="s">
        <v>3243</v>
      </c>
      <c r="D22" s="456" t="s">
        <v>54</v>
      </c>
      <c r="E22" s="16" t="s">
        <v>2649</v>
      </c>
      <c r="F22" s="31" t="s">
        <v>67</v>
      </c>
      <c r="G22" s="419"/>
      <c r="I22" s="86"/>
      <c r="K22" s="86"/>
      <c r="L22" s="42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</row>
    <row r="23" spans="1:95" s="11" customFormat="1" x14ac:dyDescent="0.25">
      <c r="A23" s="393">
        <v>43553</v>
      </c>
      <c r="B23" s="456" t="s">
        <v>12</v>
      </c>
      <c r="C23" s="89" t="s">
        <v>3244</v>
      </c>
      <c r="D23" s="456" t="s">
        <v>54</v>
      </c>
      <c r="E23" s="16" t="s">
        <v>2649</v>
      </c>
      <c r="F23" s="31" t="s">
        <v>67</v>
      </c>
      <c r="G23" s="419"/>
      <c r="I23" s="86"/>
      <c r="K23" s="86"/>
      <c r="L23" s="422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</row>
    <row r="24" spans="1:95" s="11" customFormat="1" x14ac:dyDescent="0.25">
      <c r="A24" s="393">
        <v>43553</v>
      </c>
      <c r="B24" s="456" t="s">
        <v>12</v>
      </c>
      <c r="C24" s="89" t="s">
        <v>3245</v>
      </c>
      <c r="D24" s="456" t="s">
        <v>54</v>
      </c>
      <c r="E24" s="16" t="s">
        <v>3248</v>
      </c>
      <c r="F24" s="31" t="s">
        <v>67</v>
      </c>
      <c r="G24" s="419"/>
      <c r="I24" s="86"/>
      <c r="K24" s="86"/>
      <c r="L24" s="42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</row>
    <row r="25" spans="1:95" x14ac:dyDescent="0.25">
      <c r="A25" s="393">
        <v>43553</v>
      </c>
      <c r="B25" s="456" t="s">
        <v>12</v>
      </c>
      <c r="C25" s="223" t="s">
        <v>3246</v>
      </c>
      <c r="D25" s="456" t="s">
        <v>54</v>
      </c>
      <c r="E25" s="16" t="s">
        <v>2646</v>
      </c>
      <c r="F25" s="31" t="s">
        <v>67</v>
      </c>
      <c r="G25" s="419"/>
      <c r="H25" s="4"/>
    </row>
    <row r="26" spans="1:95" x14ac:dyDescent="0.25">
      <c r="A26" s="393">
        <v>43553</v>
      </c>
      <c r="B26" s="456" t="s">
        <v>12</v>
      </c>
      <c r="C26" s="102" t="s">
        <v>3249</v>
      </c>
      <c r="D26" s="456" t="s">
        <v>54</v>
      </c>
      <c r="E26" s="16" t="s">
        <v>3109</v>
      </c>
      <c r="F26" s="31" t="s">
        <v>67</v>
      </c>
      <c r="G26" s="462"/>
      <c r="H26" s="4"/>
    </row>
    <row r="27" spans="1:95" x14ac:dyDescent="0.25">
      <c r="A27" s="393">
        <v>43553</v>
      </c>
      <c r="B27" s="456" t="s">
        <v>12</v>
      </c>
      <c r="C27" s="102" t="s">
        <v>3250</v>
      </c>
      <c r="D27" s="456" t="s">
        <v>54</v>
      </c>
      <c r="E27" s="16" t="s">
        <v>2645</v>
      </c>
      <c r="F27" s="31" t="s">
        <v>67</v>
      </c>
      <c r="G27" s="462"/>
      <c r="H27" s="4"/>
    </row>
    <row r="28" spans="1:95" x14ac:dyDescent="0.25">
      <c r="A28" s="393">
        <v>43553</v>
      </c>
      <c r="B28" s="456" t="s">
        <v>12</v>
      </c>
      <c r="C28" s="24" t="s">
        <v>3251</v>
      </c>
      <c r="D28" s="456" t="s">
        <v>54</v>
      </c>
      <c r="E28" s="16" t="s">
        <v>2646</v>
      </c>
      <c r="F28" s="31" t="s">
        <v>67</v>
      </c>
      <c r="G28" s="462"/>
      <c r="H28" s="4"/>
    </row>
    <row r="29" spans="1:95" x14ac:dyDescent="0.25">
      <c r="A29" s="393">
        <v>43553</v>
      </c>
      <c r="B29" s="456" t="s">
        <v>12</v>
      </c>
      <c r="C29" s="102" t="s">
        <v>3252</v>
      </c>
      <c r="D29" s="456" t="s">
        <v>54</v>
      </c>
      <c r="E29" s="16" t="s">
        <v>3109</v>
      </c>
      <c r="F29" s="31" t="s">
        <v>67</v>
      </c>
      <c r="G29" s="419"/>
      <c r="H29" s="4"/>
    </row>
    <row r="30" spans="1:95" x14ac:dyDescent="0.25">
      <c r="A30" s="393">
        <v>43553</v>
      </c>
      <c r="B30" s="456" t="s">
        <v>12</v>
      </c>
      <c r="C30" s="24" t="s">
        <v>3253</v>
      </c>
      <c r="D30" s="456" t="s">
        <v>54</v>
      </c>
      <c r="E30" s="16" t="s">
        <v>2657</v>
      </c>
      <c r="F30" s="31" t="s">
        <v>67</v>
      </c>
      <c r="G30" s="462"/>
      <c r="H30" s="4"/>
    </row>
    <row r="31" spans="1:95" x14ac:dyDescent="0.25">
      <c r="A31" s="393">
        <v>43553</v>
      </c>
      <c r="B31" s="456" t="s">
        <v>12</v>
      </c>
      <c r="C31" s="24" t="s">
        <v>3254</v>
      </c>
      <c r="D31" s="456" t="s">
        <v>54</v>
      </c>
      <c r="E31" s="16" t="s">
        <v>2898</v>
      </c>
      <c r="F31" s="31" t="s">
        <v>67</v>
      </c>
      <c r="G31" s="419"/>
      <c r="H31" s="4"/>
    </row>
    <row r="32" spans="1:95" x14ac:dyDescent="0.25">
      <c r="A32" s="393">
        <v>43553</v>
      </c>
      <c r="B32" s="456" t="s">
        <v>12</v>
      </c>
      <c r="C32" s="102" t="s">
        <v>3255</v>
      </c>
      <c r="D32" s="456" t="s">
        <v>54</v>
      </c>
      <c r="E32" s="16" t="s">
        <v>2898</v>
      </c>
      <c r="F32" s="31" t="s">
        <v>67</v>
      </c>
      <c r="G32" s="419"/>
      <c r="H32" s="4"/>
    </row>
    <row r="33" spans="1:8" x14ac:dyDescent="0.25">
      <c r="A33" s="393">
        <v>43553</v>
      </c>
      <c r="B33" s="456" t="s">
        <v>12</v>
      </c>
      <c r="C33" s="24" t="s">
        <v>3256</v>
      </c>
      <c r="D33" s="456" t="s">
        <v>54</v>
      </c>
      <c r="E33" s="16" t="s">
        <v>2649</v>
      </c>
      <c r="F33" s="31" t="s">
        <v>67</v>
      </c>
      <c r="G33" s="419"/>
      <c r="H33" s="4"/>
    </row>
    <row r="34" spans="1:8" x14ac:dyDescent="0.25">
      <c r="A34" s="393">
        <v>43553</v>
      </c>
      <c r="B34" s="456" t="s">
        <v>12</v>
      </c>
      <c r="C34" s="102" t="s">
        <v>3257</v>
      </c>
      <c r="D34" s="456" t="s">
        <v>54</v>
      </c>
      <c r="E34" s="16" t="s">
        <v>2657</v>
      </c>
      <c r="F34" s="31" t="s">
        <v>67</v>
      </c>
      <c r="G34" s="419"/>
      <c r="H34" s="4"/>
    </row>
    <row r="35" spans="1:8" x14ac:dyDescent="0.25">
      <c r="A35" s="393">
        <v>43553</v>
      </c>
      <c r="B35" s="456" t="s">
        <v>12</v>
      </c>
      <c r="C35" s="24" t="s">
        <v>3258</v>
      </c>
      <c r="D35" s="456" t="s">
        <v>54</v>
      </c>
      <c r="E35" s="16" t="s">
        <v>2645</v>
      </c>
      <c r="F35" s="31" t="s">
        <v>67</v>
      </c>
      <c r="G35" s="419"/>
      <c r="H35" s="4"/>
    </row>
    <row r="36" spans="1:8" x14ac:dyDescent="0.25">
      <c r="A36" s="393">
        <v>43553</v>
      </c>
      <c r="B36" s="456" t="s">
        <v>12</v>
      </c>
      <c r="C36" s="102" t="s">
        <v>2854</v>
      </c>
      <c r="D36" s="456" t="s">
        <v>54</v>
      </c>
      <c r="E36" s="16" t="s">
        <v>2846</v>
      </c>
      <c r="F36" s="31" t="s">
        <v>67</v>
      </c>
      <c r="G36" s="419"/>
      <c r="H36" s="4"/>
    </row>
    <row r="37" spans="1:8" x14ac:dyDescent="0.25">
      <c r="A37" s="393">
        <v>43553</v>
      </c>
      <c r="B37" s="456" t="s">
        <v>12</v>
      </c>
      <c r="C37" s="102" t="s">
        <v>3259</v>
      </c>
      <c r="D37" s="456" t="s">
        <v>54</v>
      </c>
      <c r="E37" s="16" t="s">
        <v>2494</v>
      </c>
      <c r="F37" s="31" t="s">
        <v>67</v>
      </c>
      <c r="G37" s="419"/>
      <c r="H37" s="4"/>
    </row>
    <row r="38" spans="1:8" x14ac:dyDescent="0.25">
      <c r="A38" s="393">
        <v>43553</v>
      </c>
      <c r="B38" s="456" t="s">
        <v>12</v>
      </c>
      <c r="C38" s="102" t="s">
        <v>3260</v>
      </c>
      <c r="D38" s="456" t="s">
        <v>54</v>
      </c>
      <c r="E38" s="16" t="s">
        <v>2898</v>
      </c>
      <c r="F38" s="31" t="s">
        <v>67</v>
      </c>
      <c r="G38" s="419"/>
      <c r="H38" s="4"/>
    </row>
    <row r="39" spans="1:8" x14ac:dyDescent="0.25">
      <c r="A39" s="393">
        <v>43553</v>
      </c>
      <c r="B39" s="456" t="s">
        <v>12</v>
      </c>
      <c r="C39" s="102" t="s">
        <v>3261</v>
      </c>
      <c r="D39" s="456" t="s">
        <v>54</v>
      </c>
      <c r="E39" s="16" t="s">
        <v>2644</v>
      </c>
      <c r="F39" s="31" t="s">
        <v>67</v>
      </c>
      <c r="G39" s="419"/>
      <c r="H39" s="4"/>
    </row>
    <row r="40" spans="1:8" x14ac:dyDescent="0.25">
      <c r="A40" s="393">
        <v>43553</v>
      </c>
      <c r="B40" s="456" t="s">
        <v>12</v>
      </c>
      <c r="C40" s="102" t="s">
        <v>3262</v>
      </c>
      <c r="D40" s="456" t="s">
        <v>54</v>
      </c>
      <c r="E40" s="16" t="s">
        <v>2494</v>
      </c>
      <c r="F40" s="31" t="s">
        <v>67</v>
      </c>
      <c r="G40" s="419"/>
      <c r="H40" s="4"/>
    </row>
    <row r="41" spans="1:8" x14ac:dyDescent="0.25">
      <c r="A41" s="393">
        <v>43553</v>
      </c>
      <c r="B41" s="456" t="s">
        <v>12</v>
      </c>
      <c r="C41" s="24" t="s">
        <v>3263</v>
      </c>
      <c r="D41" s="456" t="s">
        <v>54</v>
      </c>
      <c r="E41" s="16" t="s">
        <v>2494</v>
      </c>
      <c r="F41" s="31" t="s">
        <v>67</v>
      </c>
      <c r="G41" s="419"/>
      <c r="H41" s="4"/>
    </row>
    <row r="42" spans="1:8" x14ac:dyDescent="0.25">
      <c r="A42" s="393">
        <v>43553</v>
      </c>
      <c r="B42" s="456" t="s">
        <v>12</v>
      </c>
      <c r="C42" s="24" t="s">
        <v>3264</v>
      </c>
      <c r="D42" s="456" t="s">
        <v>54</v>
      </c>
      <c r="E42" s="16" t="s">
        <v>3265</v>
      </c>
      <c r="F42" s="31" t="s">
        <v>67</v>
      </c>
      <c r="G42" s="419"/>
      <c r="H42" s="4"/>
    </row>
    <row r="43" spans="1:8" x14ac:dyDescent="0.25">
      <c r="A43" s="393">
        <v>43553</v>
      </c>
      <c r="B43" s="456" t="s">
        <v>12</v>
      </c>
      <c r="C43" s="24" t="s">
        <v>3266</v>
      </c>
      <c r="D43" s="456" t="s">
        <v>54</v>
      </c>
      <c r="E43" s="16" t="s">
        <v>2494</v>
      </c>
      <c r="F43" s="31" t="s">
        <v>67</v>
      </c>
      <c r="G43" s="462"/>
      <c r="H43" s="4"/>
    </row>
    <row r="44" spans="1:8" x14ac:dyDescent="0.25">
      <c r="A44" s="393">
        <v>43553</v>
      </c>
      <c r="B44" s="456" t="s">
        <v>12</v>
      </c>
      <c r="C44" s="24" t="s">
        <v>3267</v>
      </c>
      <c r="D44" s="456" t="s">
        <v>54</v>
      </c>
      <c r="E44" s="16" t="s">
        <v>2494</v>
      </c>
      <c r="F44" s="31" t="s">
        <v>67</v>
      </c>
      <c r="G44" s="419"/>
      <c r="H44" s="4"/>
    </row>
    <row r="45" spans="1:8" x14ac:dyDescent="0.25">
      <c r="A45" s="393">
        <v>43553</v>
      </c>
      <c r="B45" s="456" t="s">
        <v>12</v>
      </c>
      <c r="C45" s="24" t="s">
        <v>3268</v>
      </c>
      <c r="D45" s="456" t="s">
        <v>54</v>
      </c>
      <c r="E45" s="16" t="s">
        <v>2648</v>
      </c>
      <c r="F45" s="31" t="s">
        <v>67</v>
      </c>
      <c r="G45" s="419"/>
      <c r="H45" s="4"/>
    </row>
    <row r="46" spans="1:8" x14ac:dyDescent="0.25">
      <c r="A46" s="393">
        <v>43553</v>
      </c>
      <c r="B46" s="456" t="s">
        <v>12</v>
      </c>
      <c r="C46" s="24" t="s">
        <v>2439</v>
      </c>
      <c r="D46" s="456" t="s">
        <v>54</v>
      </c>
      <c r="E46" s="16" t="s">
        <v>2440</v>
      </c>
      <c r="F46" s="31" t="s">
        <v>67</v>
      </c>
      <c r="G46" s="419"/>
      <c r="H46" s="4"/>
    </row>
    <row r="47" spans="1:8" x14ac:dyDescent="0.25">
      <c r="A47" s="393">
        <v>43553</v>
      </c>
      <c r="B47" s="456" t="s">
        <v>12</v>
      </c>
      <c r="C47" s="102" t="s">
        <v>2924</v>
      </c>
      <c r="D47" s="456" t="s">
        <v>54</v>
      </c>
      <c r="E47" s="16" t="s">
        <v>2649</v>
      </c>
      <c r="F47" s="31" t="s">
        <v>67</v>
      </c>
      <c r="G47" s="462"/>
      <c r="H47" s="4"/>
    </row>
    <row r="48" spans="1:8" x14ac:dyDescent="0.25">
      <c r="A48" s="393">
        <v>43553</v>
      </c>
      <c r="B48" s="456" t="s">
        <v>12</v>
      </c>
      <c r="C48" s="24" t="s">
        <v>3269</v>
      </c>
      <c r="D48" s="456" t="s">
        <v>54</v>
      </c>
      <c r="E48" s="16" t="s">
        <v>2655</v>
      </c>
      <c r="F48" s="31" t="s">
        <v>67</v>
      </c>
      <c r="G48" s="462"/>
      <c r="H48" s="4"/>
    </row>
    <row r="49" spans="1:8" x14ac:dyDescent="0.25">
      <c r="A49" s="393">
        <v>43553</v>
      </c>
      <c r="B49" s="456" t="s">
        <v>12</v>
      </c>
      <c r="C49" s="24" t="s">
        <v>2931</v>
      </c>
      <c r="D49" s="456" t="s">
        <v>54</v>
      </c>
      <c r="E49" s="16" t="s">
        <v>2649</v>
      </c>
      <c r="F49" s="31" t="s">
        <v>67</v>
      </c>
      <c r="G49" s="462"/>
      <c r="H49" s="4"/>
    </row>
    <row r="50" spans="1:8" x14ac:dyDescent="0.25">
      <c r="A50" s="393">
        <v>43553</v>
      </c>
      <c r="B50" s="456" t="s">
        <v>12</v>
      </c>
      <c r="C50" s="24" t="s">
        <v>3270</v>
      </c>
      <c r="D50" s="456" t="s">
        <v>54</v>
      </c>
      <c r="E50" s="16" t="s">
        <v>2876</v>
      </c>
      <c r="F50" s="31" t="s">
        <v>67</v>
      </c>
      <c r="G50" s="419"/>
      <c r="H50" s="4"/>
    </row>
    <row r="51" spans="1:8" x14ac:dyDescent="0.25">
      <c r="A51" s="393">
        <v>43553</v>
      </c>
      <c r="B51" s="456" t="s">
        <v>12</v>
      </c>
      <c r="C51" s="102" t="s">
        <v>3271</v>
      </c>
      <c r="D51" s="456" t="s">
        <v>54</v>
      </c>
      <c r="E51" s="16" t="s">
        <v>2649</v>
      </c>
      <c r="F51" s="31" t="s">
        <v>67</v>
      </c>
      <c r="G51" s="462"/>
      <c r="H51" s="4"/>
    </row>
    <row r="52" spans="1:8" x14ac:dyDescent="0.25">
      <c r="A52" s="393">
        <v>43553</v>
      </c>
      <c r="B52" s="456" t="s">
        <v>12</v>
      </c>
      <c r="C52" s="24" t="s">
        <v>3272</v>
      </c>
      <c r="D52" s="456" t="s">
        <v>54</v>
      </c>
      <c r="E52" s="16" t="s">
        <v>3070</v>
      </c>
      <c r="F52" s="31" t="s">
        <v>67</v>
      </c>
      <c r="G52" s="419"/>
      <c r="H52" s="4"/>
    </row>
    <row r="53" spans="1:8" x14ac:dyDescent="0.25">
      <c r="A53" s="393">
        <v>43553</v>
      </c>
      <c r="B53" s="456" t="s">
        <v>12</v>
      </c>
      <c r="C53" s="102" t="s">
        <v>3273</v>
      </c>
      <c r="D53" s="456" t="s">
        <v>54</v>
      </c>
      <c r="E53" s="16" t="s">
        <v>2652</v>
      </c>
      <c r="F53" s="31" t="s">
        <v>67</v>
      </c>
      <c r="G53" s="419"/>
      <c r="H53" s="4"/>
    </row>
    <row r="54" spans="1:8" x14ac:dyDescent="0.25">
      <c r="A54" s="393">
        <v>43553</v>
      </c>
      <c r="B54" s="456" t="s">
        <v>12</v>
      </c>
      <c r="C54" s="24" t="s">
        <v>3274</v>
      </c>
      <c r="D54" s="456" t="s">
        <v>54</v>
      </c>
      <c r="E54" s="16" t="s">
        <v>2649</v>
      </c>
      <c r="F54" s="31" t="s">
        <v>67</v>
      </c>
      <c r="G54" s="419"/>
      <c r="H54" s="4"/>
    </row>
    <row r="55" spans="1:8" x14ac:dyDescent="0.25">
      <c r="A55" s="393">
        <v>43553</v>
      </c>
      <c r="B55" s="456" t="s">
        <v>12</v>
      </c>
      <c r="C55" s="102" t="s">
        <v>3275</v>
      </c>
      <c r="D55" s="456" t="s">
        <v>54</v>
      </c>
      <c r="E55" s="16" t="s">
        <v>2649</v>
      </c>
      <c r="F55" s="31" t="s">
        <v>67</v>
      </c>
      <c r="G55" s="419"/>
      <c r="H55" s="4"/>
    </row>
    <row r="56" spans="1:8" x14ac:dyDescent="0.25">
      <c r="A56" s="393">
        <v>43553</v>
      </c>
      <c r="B56" s="456" t="s">
        <v>12</v>
      </c>
      <c r="C56" s="24" t="s">
        <v>3276</v>
      </c>
      <c r="D56" s="456" t="s">
        <v>54</v>
      </c>
      <c r="E56" s="16" t="s">
        <v>3277</v>
      </c>
      <c r="F56" s="31" t="s">
        <v>67</v>
      </c>
      <c r="G56" s="419"/>
      <c r="H56" s="4"/>
    </row>
    <row r="57" spans="1:8" x14ac:dyDescent="0.25">
      <c r="A57" s="393">
        <v>43553</v>
      </c>
      <c r="B57" s="456" t="s">
        <v>12</v>
      </c>
      <c r="C57" s="24" t="s">
        <v>3278</v>
      </c>
      <c r="D57" s="456" t="s">
        <v>54</v>
      </c>
      <c r="E57" s="16" t="s">
        <v>3277</v>
      </c>
      <c r="F57" s="31" t="s">
        <v>67</v>
      </c>
      <c r="G57" s="419"/>
      <c r="H57" s="4"/>
    </row>
    <row r="58" spans="1:8" x14ac:dyDescent="0.25">
      <c r="A58" s="393">
        <v>43553</v>
      </c>
      <c r="B58" s="456" t="s">
        <v>12</v>
      </c>
      <c r="C58" s="102" t="s">
        <v>3279</v>
      </c>
      <c r="D58" s="456" t="s">
        <v>54</v>
      </c>
      <c r="E58" s="16" t="s">
        <v>2649</v>
      </c>
      <c r="F58" s="31" t="s">
        <v>67</v>
      </c>
      <c r="G58" s="419"/>
      <c r="H58" s="4"/>
    </row>
    <row r="59" spans="1:8" x14ac:dyDescent="0.25">
      <c r="A59" s="393">
        <v>43553</v>
      </c>
      <c r="B59" s="456" t="s">
        <v>12</v>
      </c>
      <c r="C59" s="24" t="s">
        <v>3280</v>
      </c>
      <c r="D59" s="456" t="s">
        <v>54</v>
      </c>
      <c r="E59" s="16" t="s">
        <v>2649</v>
      </c>
      <c r="F59" s="31" t="s">
        <v>67</v>
      </c>
      <c r="G59" s="462"/>
      <c r="H59" s="4"/>
    </row>
    <row r="60" spans="1:8" x14ac:dyDescent="0.25">
      <c r="A60" s="393">
        <v>43553</v>
      </c>
      <c r="B60" s="456" t="s">
        <v>12</v>
      </c>
      <c r="C60" s="102" t="s">
        <v>2998</v>
      </c>
      <c r="D60" s="456" t="s">
        <v>54</v>
      </c>
      <c r="E60" s="16" t="s">
        <v>2649</v>
      </c>
      <c r="F60" s="31" t="s">
        <v>67</v>
      </c>
      <c r="G60" s="419"/>
      <c r="H60" s="4"/>
    </row>
    <row r="61" spans="1:8" x14ac:dyDescent="0.25">
      <c r="A61" s="393">
        <v>43553</v>
      </c>
      <c r="B61" s="456" t="s">
        <v>12</v>
      </c>
      <c r="C61" s="24" t="s">
        <v>3281</v>
      </c>
      <c r="D61" s="456" t="s">
        <v>54</v>
      </c>
      <c r="E61" s="16" t="s">
        <v>2649</v>
      </c>
      <c r="F61" s="31" t="s">
        <v>67</v>
      </c>
      <c r="G61" s="4"/>
      <c r="H61" s="4"/>
    </row>
    <row r="62" spans="1:8" x14ac:dyDescent="0.25">
      <c r="A62" s="393">
        <v>43553</v>
      </c>
      <c r="B62" s="456" t="s">
        <v>12</v>
      </c>
      <c r="C62" s="102" t="s">
        <v>3282</v>
      </c>
      <c r="D62" s="456" t="s">
        <v>54</v>
      </c>
      <c r="E62" s="16" t="s">
        <v>2898</v>
      </c>
      <c r="F62" s="31" t="s">
        <v>67</v>
      </c>
      <c r="G62" s="419"/>
      <c r="H62" s="4"/>
    </row>
    <row r="63" spans="1:8" x14ac:dyDescent="0.25">
      <c r="A63" s="393">
        <v>43553</v>
      </c>
      <c r="B63" s="456" t="s">
        <v>12</v>
      </c>
      <c r="C63" s="102" t="s">
        <v>3283</v>
      </c>
      <c r="D63" s="456" t="s">
        <v>54</v>
      </c>
      <c r="E63" s="16" t="s">
        <v>952</v>
      </c>
      <c r="F63" s="31" t="s">
        <v>67</v>
      </c>
      <c r="G63" s="419"/>
      <c r="H63" s="4"/>
    </row>
    <row r="64" spans="1:8" x14ac:dyDescent="0.25">
      <c r="A64" s="393">
        <v>43553</v>
      </c>
      <c r="B64" s="456" t="s">
        <v>12</v>
      </c>
      <c r="C64" s="24" t="s">
        <v>3284</v>
      </c>
      <c r="D64" s="456" t="s">
        <v>54</v>
      </c>
      <c r="E64" s="16" t="s">
        <v>2898</v>
      </c>
      <c r="F64" s="31" t="s">
        <v>67</v>
      </c>
      <c r="G64" s="419"/>
      <c r="H64" s="4"/>
    </row>
    <row r="65" spans="1:8" x14ac:dyDescent="0.25">
      <c r="A65" s="393">
        <v>43553</v>
      </c>
      <c r="B65" s="456" t="s">
        <v>12</v>
      </c>
      <c r="C65" s="102" t="s">
        <v>3285</v>
      </c>
      <c r="D65" s="456" t="s">
        <v>54</v>
      </c>
      <c r="E65" s="16" t="s">
        <v>2649</v>
      </c>
      <c r="F65" s="31" t="s">
        <v>67</v>
      </c>
      <c r="G65" s="419"/>
      <c r="H65" s="4"/>
    </row>
    <row r="66" spans="1:8" x14ac:dyDescent="0.25">
      <c r="A66" s="393">
        <v>43553</v>
      </c>
      <c r="B66" s="456" t="s">
        <v>12</v>
      </c>
      <c r="C66" s="102" t="s">
        <v>3286</v>
      </c>
      <c r="D66" s="456" t="s">
        <v>54</v>
      </c>
      <c r="E66" s="16" t="s">
        <v>2649</v>
      </c>
      <c r="F66" s="31" t="s">
        <v>67</v>
      </c>
      <c r="G66" s="419"/>
      <c r="H66" s="4"/>
    </row>
    <row r="67" spans="1:8" x14ac:dyDescent="0.25">
      <c r="A67" s="393">
        <v>43553</v>
      </c>
      <c r="B67" s="456" t="s">
        <v>12</v>
      </c>
      <c r="C67" s="102" t="s">
        <v>3082</v>
      </c>
      <c r="D67" s="456" t="s">
        <v>54</v>
      </c>
      <c r="E67" s="16" t="s">
        <v>2898</v>
      </c>
      <c r="F67" s="31" t="s">
        <v>67</v>
      </c>
      <c r="G67" s="419"/>
      <c r="H67" s="4"/>
    </row>
    <row r="68" spans="1:8" x14ac:dyDescent="0.25">
      <c r="A68" s="393">
        <v>43553</v>
      </c>
      <c r="B68" s="456" t="s">
        <v>12</v>
      </c>
      <c r="C68" s="24" t="s">
        <v>3287</v>
      </c>
      <c r="D68" s="456" t="s">
        <v>54</v>
      </c>
      <c r="E68" s="16" t="s">
        <v>2652</v>
      </c>
      <c r="F68" s="31" t="s">
        <v>67</v>
      </c>
      <c r="G68" s="419"/>
      <c r="H68" s="4"/>
    </row>
    <row r="69" spans="1:8" x14ac:dyDescent="0.25">
      <c r="A69" s="393">
        <v>43553</v>
      </c>
      <c r="B69" s="456" t="s">
        <v>12</v>
      </c>
      <c r="C69" s="102" t="s">
        <v>3288</v>
      </c>
      <c r="D69" s="456" t="s">
        <v>54</v>
      </c>
      <c r="E69" s="16" t="s">
        <v>2826</v>
      </c>
      <c r="F69" s="31" t="s">
        <v>67</v>
      </c>
      <c r="G69" s="462"/>
      <c r="H69" s="4"/>
    </row>
    <row r="70" spans="1:8" x14ac:dyDescent="0.25">
      <c r="A70" s="393">
        <v>43553</v>
      </c>
      <c r="B70" s="456" t="s">
        <v>12</v>
      </c>
      <c r="C70" s="102" t="s">
        <v>3289</v>
      </c>
      <c r="D70" s="456" t="s">
        <v>54</v>
      </c>
      <c r="E70" s="16" t="s">
        <v>3109</v>
      </c>
      <c r="F70" s="31" t="s">
        <v>67</v>
      </c>
      <c r="G70" s="462"/>
      <c r="H70" s="4"/>
    </row>
    <row r="71" spans="1:8" x14ac:dyDescent="0.25">
      <c r="A71" s="393">
        <v>43553</v>
      </c>
      <c r="B71" s="456" t="s">
        <v>12</v>
      </c>
      <c r="C71" s="24" t="s">
        <v>3290</v>
      </c>
      <c r="D71" s="456" t="s">
        <v>54</v>
      </c>
      <c r="E71" s="16" t="s">
        <v>2644</v>
      </c>
      <c r="F71" s="31" t="s">
        <v>67</v>
      </c>
      <c r="G71" s="462"/>
      <c r="H71" s="4"/>
    </row>
    <row r="72" spans="1:8" x14ac:dyDescent="0.25">
      <c r="A72" s="393">
        <v>43553</v>
      </c>
      <c r="B72" s="456" t="s">
        <v>12</v>
      </c>
      <c r="C72" s="24" t="s">
        <v>3123</v>
      </c>
      <c r="D72" s="456" t="s">
        <v>54</v>
      </c>
      <c r="E72" s="16" t="s">
        <v>2644</v>
      </c>
      <c r="F72" s="31" t="s">
        <v>67</v>
      </c>
      <c r="G72" s="462"/>
      <c r="H72" s="4"/>
    </row>
    <row r="73" spans="1:8" x14ac:dyDescent="0.25">
      <c r="A73" s="393">
        <v>43553</v>
      </c>
      <c r="B73" s="456" t="s">
        <v>12</v>
      </c>
      <c r="C73" s="24" t="s">
        <v>3291</v>
      </c>
      <c r="D73" s="456" t="s">
        <v>54</v>
      </c>
      <c r="E73" s="16" t="s">
        <v>2657</v>
      </c>
      <c r="F73" s="31" t="s">
        <v>67</v>
      </c>
      <c r="G73" s="462"/>
      <c r="H73" s="4"/>
    </row>
    <row r="74" spans="1:8" x14ac:dyDescent="0.25">
      <c r="A74" s="393">
        <v>43553</v>
      </c>
      <c r="B74" s="456" t="s">
        <v>12</v>
      </c>
      <c r="C74" s="24" t="s">
        <v>3292</v>
      </c>
      <c r="D74" s="456" t="s">
        <v>54</v>
      </c>
      <c r="E74" s="16" t="s">
        <v>2657</v>
      </c>
      <c r="F74" s="31" t="s">
        <v>67</v>
      </c>
      <c r="G74" s="462"/>
      <c r="H74" s="4"/>
    </row>
    <row r="75" spans="1:8" x14ac:dyDescent="0.25">
      <c r="A75" s="393">
        <v>43553</v>
      </c>
      <c r="B75" s="456" t="s">
        <v>12</v>
      </c>
      <c r="C75" s="24" t="s">
        <v>3293</v>
      </c>
      <c r="D75" s="456" t="s">
        <v>54</v>
      </c>
      <c r="E75" s="16" t="s">
        <v>2657</v>
      </c>
      <c r="F75" s="31" t="s">
        <v>67</v>
      </c>
      <c r="G75" s="462"/>
      <c r="H75" s="4"/>
    </row>
    <row r="76" spans="1:8" x14ac:dyDescent="0.25">
      <c r="A76" s="393">
        <v>43553</v>
      </c>
      <c r="B76" s="456" t="s">
        <v>12</v>
      </c>
      <c r="C76" s="24" t="s">
        <v>3294</v>
      </c>
      <c r="D76" s="456" t="s">
        <v>54</v>
      </c>
      <c r="E76" s="16" t="s">
        <v>2657</v>
      </c>
      <c r="F76" s="31" t="s">
        <v>67</v>
      </c>
      <c r="G76" s="462"/>
      <c r="H76" s="4"/>
    </row>
    <row r="77" spans="1:8" x14ac:dyDescent="0.25">
      <c r="A77" s="393">
        <v>43553</v>
      </c>
      <c r="B77" s="456" t="s">
        <v>12</v>
      </c>
      <c r="C77" s="24" t="s">
        <v>3295</v>
      </c>
      <c r="D77" s="456" t="s">
        <v>54</v>
      </c>
      <c r="E77" s="16" t="s">
        <v>2657</v>
      </c>
      <c r="F77" s="31" t="s">
        <v>67</v>
      </c>
      <c r="G77" s="462"/>
      <c r="H77" s="4"/>
    </row>
    <row r="78" spans="1:8" x14ac:dyDescent="0.25">
      <c r="A78" s="393">
        <v>43553</v>
      </c>
      <c r="B78" s="456" t="s">
        <v>12</v>
      </c>
      <c r="C78" s="24" t="s">
        <v>3296</v>
      </c>
      <c r="D78" s="456" t="s">
        <v>54</v>
      </c>
      <c r="E78" s="16" t="s">
        <v>2657</v>
      </c>
      <c r="F78" s="31" t="s">
        <v>67</v>
      </c>
      <c r="G78" s="462"/>
      <c r="H78" s="4"/>
    </row>
    <row r="79" spans="1:8" x14ac:dyDescent="0.25">
      <c r="A79" s="393">
        <v>43553</v>
      </c>
      <c r="B79" s="456" t="s">
        <v>12</v>
      </c>
      <c r="C79" s="24" t="s">
        <v>3297</v>
      </c>
      <c r="D79" s="456" t="s">
        <v>54</v>
      </c>
      <c r="E79" s="16" t="s">
        <v>2657</v>
      </c>
      <c r="F79" s="31" t="s">
        <v>67</v>
      </c>
      <c r="G79" s="462"/>
      <c r="H79" s="4"/>
    </row>
    <row r="80" spans="1:8" x14ac:dyDescent="0.25">
      <c r="A80" s="393">
        <v>43553</v>
      </c>
      <c r="B80" s="456" t="s">
        <v>12</v>
      </c>
      <c r="C80" s="24" t="s">
        <v>3298</v>
      </c>
      <c r="D80" s="456" t="s">
        <v>54</v>
      </c>
      <c r="E80" s="16" t="s">
        <v>2657</v>
      </c>
      <c r="F80" s="31" t="s">
        <v>67</v>
      </c>
      <c r="G80" s="462"/>
      <c r="H80" s="4"/>
    </row>
    <row r="81" spans="1:8" x14ac:dyDescent="0.25">
      <c r="A81" s="393">
        <v>43553</v>
      </c>
      <c r="B81" s="456" t="s">
        <v>12</v>
      </c>
      <c r="C81" s="24" t="s">
        <v>3299</v>
      </c>
      <c r="D81" s="456" t="s">
        <v>54</v>
      </c>
      <c r="E81" s="16" t="s">
        <v>2657</v>
      </c>
      <c r="F81" s="31" t="s">
        <v>67</v>
      </c>
      <c r="G81" s="462"/>
      <c r="H81" s="4"/>
    </row>
    <row r="82" spans="1:8" x14ac:dyDescent="0.25">
      <c r="A82" s="393">
        <v>43553</v>
      </c>
      <c r="B82" s="456" t="s">
        <v>12</v>
      </c>
      <c r="C82" s="24" t="s">
        <v>3300</v>
      </c>
      <c r="D82" s="456" t="s">
        <v>54</v>
      </c>
      <c r="E82" s="16" t="s">
        <v>2657</v>
      </c>
      <c r="F82" s="31" t="s">
        <v>67</v>
      </c>
      <c r="G82" s="462"/>
      <c r="H82" s="4"/>
    </row>
    <row r="83" spans="1:8" x14ac:dyDescent="0.25">
      <c r="A83" s="393">
        <v>43553</v>
      </c>
      <c r="B83" s="456" t="s">
        <v>12</v>
      </c>
      <c r="C83" s="24" t="s">
        <v>3301</v>
      </c>
      <c r="D83" s="456" t="s">
        <v>54</v>
      </c>
      <c r="E83" s="16" t="s">
        <v>2657</v>
      </c>
      <c r="F83" s="31" t="s">
        <v>67</v>
      </c>
      <c r="G83" s="462"/>
      <c r="H83" s="4"/>
    </row>
    <row r="84" spans="1:8" x14ac:dyDescent="0.25">
      <c r="A84" s="393">
        <v>43553</v>
      </c>
      <c r="B84" s="456" t="s">
        <v>12</v>
      </c>
      <c r="C84" s="24" t="s">
        <v>3302</v>
      </c>
      <c r="D84" s="456" t="s">
        <v>54</v>
      </c>
      <c r="E84" s="16" t="s">
        <v>2657</v>
      </c>
      <c r="F84" s="31" t="s">
        <v>67</v>
      </c>
      <c r="G84" s="462"/>
      <c r="H84" s="4"/>
    </row>
    <row r="85" spans="1:8" x14ac:dyDescent="0.25">
      <c r="A85" s="393">
        <v>43553</v>
      </c>
      <c r="B85" s="456" t="s">
        <v>12</v>
      </c>
      <c r="C85" s="24" t="s">
        <v>3303</v>
      </c>
      <c r="D85" s="456" t="s">
        <v>54</v>
      </c>
      <c r="E85" s="16" t="s">
        <v>2657</v>
      </c>
      <c r="F85" s="31" t="s">
        <v>67</v>
      </c>
      <c r="G85" s="462"/>
      <c r="H85" s="4"/>
    </row>
    <row r="86" spans="1:8" x14ac:dyDescent="0.25">
      <c r="A86" s="393">
        <v>43553</v>
      </c>
      <c r="B86" s="456" t="s">
        <v>12</v>
      </c>
      <c r="C86" s="24" t="s">
        <v>3304</v>
      </c>
      <c r="D86" s="456" t="s">
        <v>54</v>
      </c>
      <c r="E86" s="16" t="s">
        <v>2657</v>
      </c>
      <c r="F86" s="31" t="s">
        <v>67</v>
      </c>
      <c r="G86" s="431"/>
      <c r="H86" s="4"/>
    </row>
    <row r="87" spans="1:8" x14ac:dyDescent="0.25">
      <c r="A87" s="393">
        <v>43553</v>
      </c>
      <c r="B87" s="456" t="s">
        <v>12</v>
      </c>
      <c r="C87" s="24" t="s">
        <v>3305</v>
      </c>
      <c r="D87" s="456" t="s">
        <v>54</v>
      </c>
      <c r="E87" s="16" t="s">
        <v>2657</v>
      </c>
      <c r="F87" s="31" t="s">
        <v>67</v>
      </c>
      <c r="G87" s="462"/>
      <c r="H87" s="4"/>
    </row>
    <row r="88" spans="1:8" x14ac:dyDescent="0.25">
      <c r="A88" s="393">
        <v>43553</v>
      </c>
      <c r="B88" s="456" t="s">
        <v>12</v>
      </c>
      <c r="C88" s="24" t="s">
        <v>3306</v>
      </c>
      <c r="D88" s="456" t="s">
        <v>54</v>
      </c>
      <c r="E88" s="16" t="s">
        <v>2657</v>
      </c>
      <c r="F88" s="31" t="s">
        <v>67</v>
      </c>
      <c r="G88" s="431"/>
      <c r="H88" s="4"/>
    </row>
    <row r="89" spans="1:8" x14ac:dyDescent="0.25">
      <c r="A89" s="393">
        <v>43553</v>
      </c>
      <c r="B89" s="456" t="s">
        <v>12</v>
      </c>
      <c r="C89" s="24" t="s">
        <v>3307</v>
      </c>
      <c r="D89" s="456" t="s">
        <v>54</v>
      </c>
      <c r="E89" s="16" t="s">
        <v>2657</v>
      </c>
      <c r="F89" s="31" t="s">
        <v>67</v>
      </c>
      <c r="G89" s="4"/>
      <c r="H89" s="4"/>
    </row>
    <row r="90" spans="1:8" x14ac:dyDescent="0.25">
      <c r="A90" s="393">
        <v>43553</v>
      </c>
      <c r="B90" s="456" t="s">
        <v>12</v>
      </c>
      <c r="C90" s="24" t="s">
        <v>3308</v>
      </c>
      <c r="D90" s="456" t="s">
        <v>54</v>
      </c>
      <c r="E90" s="16" t="s">
        <v>2657</v>
      </c>
      <c r="F90" s="31" t="s">
        <v>67</v>
      </c>
      <c r="G90" s="4"/>
      <c r="H90" s="4"/>
    </row>
    <row r="91" spans="1:8" x14ac:dyDescent="0.25">
      <c r="A91" s="393">
        <v>43553</v>
      </c>
      <c r="B91" s="456" t="s">
        <v>12</v>
      </c>
      <c r="C91" s="24" t="s">
        <v>3309</v>
      </c>
      <c r="D91" s="456" t="s">
        <v>54</v>
      </c>
      <c r="E91" s="16" t="s">
        <v>2657</v>
      </c>
      <c r="F91" s="31" t="s">
        <v>67</v>
      </c>
      <c r="G91" s="4"/>
      <c r="H91" s="4"/>
    </row>
    <row r="92" spans="1:8" x14ac:dyDescent="0.25">
      <c r="A92" s="393">
        <v>43553</v>
      </c>
      <c r="B92" s="456" t="s">
        <v>12</v>
      </c>
      <c r="C92" s="24" t="s">
        <v>3310</v>
      </c>
      <c r="D92" s="456" t="s">
        <v>54</v>
      </c>
      <c r="E92" s="16" t="s">
        <v>2657</v>
      </c>
      <c r="F92" s="31" t="s">
        <v>67</v>
      </c>
      <c r="G92" s="4"/>
      <c r="H92" s="4"/>
    </row>
    <row r="93" spans="1:8" x14ac:dyDescent="0.25">
      <c r="A93" s="393">
        <v>43553</v>
      </c>
      <c r="B93" s="456" t="s">
        <v>12</v>
      </c>
      <c r="C93" s="24" t="s">
        <v>3311</v>
      </c>
      <c r="D93" s="456" t="s">
        <v>54</v>
      </c>
      <c r="E93" s="16" t="s">
        <v>2657</v>
      </c>
      <c r="F93" s="31" t="s">
        <v>67</v>
      </c>
      <c r="G93" s="4"/>
      <c r="H93" s="4"/>
    </row>
    <row r="94" spans="1:8" x14ac:dyDescent="0.25">
      <c r="A94" s="393">
        <v>43553</v>
      </c>
      <c r="B94" s="456" t="s">
        <v>12</v>
      </c>
      <c r="C94" s="24" t="s">
        <v>3312</v>
      </c>
      <c r="D94" s="456" t="s">
        <v>54</v>
      </c>
      <c r="E94" s="16" t="s">
        <v>2657</v>
      </c>
      <c r="F94" s="31" t="s">
        <v>67</v>
      </c>
      <c r="G94" s="4"/>
      <c r="H94" s="4"/>
    </row>
    <row r="95" spans="1:8" x14ac:dyDescent="0.25">
      <c r="A95" s="393">
        <v>43553</v>
      </c>
      <c r="B95" s="456" t="s">
        <v>12</v>
      </c>
      <c r="C95" s="24" t="s">
        <v>3313</v>
      </c>
      <c r="D95" s="456" t="s">
        <v>54</v>
      </c>
      <c r="E95" s="16" t="s">
        <v>2657</v>
      </c>
      <c r="F95" s="31" t="s">
        <v>67</v>
      </c>
      <c r="G95" s="4"/>
      <c r="H95" s="4"/>
    </row>
    <row r="96" spans="1:8" x14ac:dyDescent="0.25">
      <c r="A96" s="393">
        <v>43553</v>
      </c>
      <c r="B96" s="456" t="s">
        <v>12</v>
      </c>
      <c r="C96" s="24" t="s">
        <v>3314</v>
      </c>
      <c r="D96" s="456" t="s">
        <v>54</v>
      </c>
      <c r="E96" s="16" t="s">
        <v>2657</v>
      </c>
      <c r="F96" s="31" t="s">
        <v>67</v>
      </c>
      <c r="G96" s="4"/>
      <c r="H96" s="4"/>
    </row>
    <row r="97" spans="1:8" x14ac:dyDescent="0.25">
      <c r="A97" s="393">
        <v>43553</v>
      </c>
      <c r="B97" s="456" t="s">
        <v>12</v>
      </c>
      <c r="C97" s="24" t="s">
        <v>3315</v>
      </c>
      <c r="D97" s="456" t="s">
        <v>54</v>
      </c>
      <c r="E97" s="16" t="s">
        <v>2657</v>
      </c>
      <c r="F97" s="31" t="s">
        <v>67</v>
      </c>
      <c r="G97" s="4"/>
      <c r="H97" s="4"/>
    </row>
    <row r="98" spans="1:8" x14ac:dyDescent="0.25">
      <c r="A98" s="393">
        <v>43553</v>
      </c>
      <c r="B98" s="456" t="s">
        <v>12</v>
      </c>
      <c r="C98" s="24" t="s">
        <v>3316</v>
      </c>
      <c r="D98" s="456" t="s">
        <v>54</v>
      </c>
      <c r="E98" s="16" t="s">
        <v>2657</v>
      </c>
      <c r="F98" s="31" t="s">
        <v>67</v>
      </c>
      <c r="G98" s="4"/>
      <c r="H98" s="4"/>
    </row>
    <row r="99" spans="1:8" x14ac:dyDescent="0.25">
      <c r="A99" s="393">
        <v>43553</v>
      </c>
      <c r="B99" s="456" t="s">
        <v>12</v>
      </c>
      <c r="C99" s="24" t="s">
        <v>3317</v>
      </c>
      <c r="D99" s="456" t="s">
        <v>54</v>
      </c>
      <c r="E99" s="16" t="s">
        <v>2657</v>
      </c>
      <c r="F99" s="31" t="s">
        <v>67</v>
      </c>
      <c r="G99" s="4"/>
      <c r="H99" s="4"/>
    </row>
    <row r="100" spans="1:8" x14ac:dyDescent="0.25">
      <c r="A100" s="393">
        <v>43553</v>
      </c>
      <c r="B100" s="456" t="s">
        <v>12</v>
      </c>
      <c r="C100" s="24" t="s">
        <v>3183</v>
      </c>
      <c r="D100" s="456" t="s">
        <v>54</v>
      </c>
      <c r="E100" s="16" t="s">
        <v>2645</v>
      </c>
      <c r="F100" s="31" t="s">
        <v>67</v>
      </c>
      <c r="G100" s="4"/>
      <c r="H100" s="4"/>
    </row>
    <row r="101" spans="1:8" x14ac:dyDescent="0.25">
      <c r="A101" s="393">
        <v>43553</v>
      </c>
      <c r="B101" s="456" t="s">
        <v>12</v>
      </c>
      <c r="C101" s="24" t="s">
        <v>3318</v>
      </c>
      <c r="D101" s="456" t="s">
        <v>54</v>
      </c>
      <c r="E101" s="16" t="s">
        <v>2645</v>
      </c>
      <c r="F101" s="31" t="s">
        <v>67</v>
      </c>
      <c r="G101" s="4"/>
      <c r="H101" s="4"/>
    </row>
    <row r="102" spans="1:8" x14ac:dyDescent="0.25">
      <c r="A102" s="393">
        <v>43553</v>
      </c>
      <c r="B102" s="456" t="s">
        <v>12</v>
      </c>
      <c r="C102" s="24" t="s">
        <v>3319</v>
      </c>
      <c r="D102" s="456" t="s">
        <v>54</v>
      </c>
      <c r="E102" s="16" t="s">
        <v>2645</v>
      </c>
      <c r="F102" s="31" t="s">
        <v>67</v>
      </c>
      <c r="G102" s="4"/>
      <c r="H102" s="4"/>
    </row>
    <row r="103" spans="1:8" x14ac:dyDescent="0.25">
      <c r="A103" s="393">
        <v>43553</v>
      </c>
      <c r="B103" s="456" t="s">
        <v>12</v>
      </c>
      <c r="C103" s="102" t="s">
        <v>3320</v>
      </c>
      <c r="D103" s="456" t="s">
        <v>54</v>
      </c>
      <c r="E103" s="16" t="s">
        <v>2645</v>
      </c>
      <c r="F103" s="31" t="s">
        <v>67</v>
      </c>
      <c r="G103" s="4"/>
      <c r="H103" s="4"/>
    </row>
    <row r="104" spans="1:8" x14ac:dyDescent="0.25">
      <c r="A104" s="393">
        <v>43553</v>
      </c>
      <c r="B104" s="456" t="s">
        <v>12</v>
      </c>
      <c r="C104" s="24" t="s">
        <v>3321</v>
      </c>
      <c r="D104" s="456" t="s">
        <v>54</v>
      </c>
      <c r="E104" s="16" t="s">
        <v>2645</v>
      </c>
      <c r="F104" s="31" t="s">
        <v>67</v>
      </c>
      <c r="G104" s="4"/>
      <c r="H104" s="4"/>
    </row>
    <row r="105" spans="1:8" x14ac:dyDescent="0.25">
      <c r="A105" s="393">
        <v>43553</v>
      </c>
      <c r="B105" s="456" t="s">
        <v>12</v>
      </c>
      <c r="C105" s="24" t="s">
        <v>3322</v>
      </c>
      <c r="D105" s="456" t="s">
        <v>54</v>
      </c>
      <c r="E105" s="16" t="s">
        <v>2645</v>
      </c>
      <c r="F105" s="31" t="s">
        <v>67</v>
      </c>
      <c r="G105" s="4"/>
      <c r="H105" s="4"/>
    </row>
    <row r="106" spans="1:8" x14ac:dyDescent="0.25">
      <c r="G106" s="12"/>
      <c r="H106" s="4"/>
    </row>
    <row r="107" spans="1:8" x14ac:dyDescent="0.25">
      <c r="G107" s="12"/>
      <c r="H107" s="4"/>
    </row>
    <row r="108" spans="1:8" x14ac:dyDescent="0.25">
      <c r="G108" s="12"/>
      <c r="H108" s="4"/>
    </row>
    <row r="109" spans="1:8" x14ac:dyDescent="0.25">
      <c r="G109" s="12"/>
      <c r="H109" s="4"/>
    </row>
    <row r="110" spans="1:8" x14ac:dyDescent="0.25">
      <c r="G110" s="12"/>
      <c r="H110" s="4"/>
    </row>
    <row r="111" spans="1:8" x14ac:dyDescent="0.25">
      <c r="G111" s="12"/>
      <c r="H111" s="4"/>
    </row>
    <row r="112" spans="1:8" x14ac:dyDescent="0.25">
      <c r="G112" s="12"/>
      <c r="H112" s="4"/>
    </row>
    <row r="113" spans="7:8" x14ac:dyDescent="0.25">
      <c r="G113" s="12"/>
      <c r="H113" s="4"/>
    </row>
    <row r="114" spans="7:8" x14ac:dyDescent="0.25">
      <c r="G114" s="12"/>
      <c r="H114" s="4"/>
    </row>
    <row r="115" spans="7:8" x14ac:dyDescent="0.25">
      <c r="G115" s="12"/>
      <c r="H115" s="4"/>
    </row>
    <row r="116" spans="7:8" x14ac:dyDescent="0.25">
      <c r="G116" s="12"/>
      <c r="H116" s="4"/>
    </row>
    <row r="117" spans="7:8" x14ac:dyDescent="0.25">
      <c r="G117" s="12"/>
      <c r="H117" s="4"/>
    </row>
    <row r="118" spans="7:8" x14ac:dyDescent="0.25">
      <c r="G118" s="12"/>
      <c r="H118" s="4"/>
    </row>
    <row r="119" spans="7:8" x14ac:dyDescent="0.25">
      <c r="G119" s="12"/>
      <c r="H119" s="4"/>
    </row>
    <row r="120" spans="7:8" x14ac:dyDescent="0.25">
      <c r="G120" s="12"/>
      <c r="H120" s="4"/>
    </row>
    <row r="121" spans="7:8" x14ac:dyDescent="0.25">
      <c r="G121" s="12"/>
      <c r="H121" s="4"/>
    </row>
    <row r="122" spans="7:8" x14ac:dyDescent="0.25">
      <c r="G122" s="12"/>
      <c r="H122" s="4"/>
    </row>
    <row r="123" spans="7:8" x14ac:dyDescent="0.25">
      <c r="G123" s="12"/>
      <c r="H123" s="4"/>
    </row>
    <row r="124" spans="7:8" x14ac:dyDescent="0.25">
      <c r="G124" s="12"/>
      <c r="H124" s="4"/>
    </row>
    <row r="125" spans="7:8" x14ac:dyDescent="0.25">
      <c r="G125" s="12"/>
      <c r="H125" s="4"/>
    </row>
    <row r="126" spans="7:8" x14ac:dyDescent="0.25">
      <c r="G126" s="12"/>
      <c r="H126" s="4"/>
    </row>
    <row r="127" spans="7:8" x14ac:dyDescent="0.25">
      <c r="G127" s="12"/>
      <c r="H127" s="12"/>
    </row>
    <row r="128" spans="7:8" x14ac:dyDescent="0.25">
      <c r="G128" s="12"/>
      <c r="H128" s="12"/>
    </row>
    <row r="129" spans="7:8" x14ac:dyDescent="0.25">
      <c r="G129" s="12"/>
      <c r="H129" s="12"/>
    </row>
    <row r="130" spans="7:8" x14ac:dyDescent="0.25">
      <c r="G130" s="12"/>
      <c r="H130" s="12"/>
    </row>
    <row r="131" spans="7:8" x14ac:dyDescent="0.25">
      <c r="G131" s="12"/>
      <c r="H131" s="12"/>
    </row>
    <row r="132" spans="7:8" x14ac:dyDescent="0.25">
      <c r="G132" s="12"/>
      <c r="H132" s="12"/>
    </row>
    <row r="133" spans="7:8" x14ac:dyDescent="0.25">
      <c r="G133" s="12"/>
      <c r="H133" s="12"/>
    </row>
    <row r="134" spans="7:8" x14ac:dyDescent="0.25">
      <c r="G134" s="12"/>
      <c r="H134" s="12"/>
    </row>
    <row r="135" spans="7:8" x14ac:dyDescent="0.25">
      <c r="G135" s="12"/>
      <c r="H135" s="12"/>
    </row>
    <row r="136" spans="7:8" x14ac:dyDescent="0.25">
      <c r="G136" s="12"/>
      <c r="H136" s="12"/>
    </row>
    <row r="137" spans="7:8" x14ac:dyDescent="0.25">
      <c r="G137" s="12"/>
      <c r="H137" s="12"/>
    </row>
    <row r="138" spans="7:8" x14ac:dyDescent="0.25">
      <c r="G138" s="12"/>
      <c r="H138" s="12"/>
    </row>
  </sheetData>
  <mergeCells count="8">
    <mergeCell ref="CF4:CO4"/>
    <mergeCell ref="BV4:BZ4"/>
    <mergeCell ref="CA4:CE4"/>
    <mergeCell ref="A4:F4"/>
    <mergeCell ref="J4:AO4"/>
    <mergeCell ref="AP4:BL4"/>
    <mergeCell ref="BN4:BO4"/>
    <mergeCell ref="BP4:BU4"/>
  </mergeCells>
  <conditionalFormatting sqref="C19">
    <cfRule type="cellIs" dxfId="0" priority="1" stopIfTrue="1" operator="equal">
      <formula>460110</formula>
    </cfRule>
  </conditionalFormatting>
  <pageMargins left="0.25" right="0.25" top="0.5" bottom="0.75" header="0.25" footer="0.25"/>
  <pageSetup orientation="landscape" verticalDpi="598" r:id="rId1"/>
  <headerFooter>
    <oddFooter>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CU352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D6" sqref="D6"/>
    </sheetView>
  </sheetViews>
  <sheetFormatPr defaultRowHeight="15" x14ac:dyDescent="0.25"/>
  <cols>
    <col min="1" max="1" width="17.42578125" style="4" bestFit="1" customWidth="1"/>
    <col min="2" max="2" width="17.42578125" style="4" customWidth="1"/>
    <col min="3" max="3" width="26.42578125" style="14" bestFit="1" customWidth="1"/>
    <col min="4" max="4" width="8.7109375" style="14" bestFit="1" customWidth="1"/>
    <col min="5" max="5" width="39.5703125" style="4" customWidth="1"/>
    <col min="6" max="6" width="53.85546875" style="11" customWidth="1"/>
    <col min="7" max="7" width="8.42578125" style="11" bestFit="1" customWidth="1"/>
    <col min="8" max="8" width="9.7109375" style="11" bestFit="1" customWidth="1"/>
    <col min="9" max="9" width="14.5703125" style="11" customWidth="1"/>
    <col min="10" max="10" width="23.85546875" style="4" customWidth="1"/>
    <col min="11" max="11" width="18.42578125" style="4" customWidth="1"/>
    <col min="12" max="12" width="16" style="4" bestFit="1" customWidth="1"/>
    <col min="13" max="14" width="14.5703125" style="4" bestFit="1" customWidth="1"/>
    <col min="15" max="15" width="12.5703125" style="4" bestFit="1" customWidth="1"/>
    <col min="16" max="16" width="13.42578125" style="4" customWidth="1"/>
    <col min="17" max="17" width="14" style="4" bestFit="1" customWidth="1"/>
    <col min="18" max="18" width="13.42578125" style="4" customWidth="1"/>
    <col min="19" max="19" width="14" style="4" bestFit="1" customWidth="1"/>
    <col min="20" max="20" width="13.42578125" style="4" customWidth="1"/>
    <col min="21" max="21" width="9" style="4" bestFit="1" customWidth="1"/>
    <col min="22" max="22" width="13.42578125" style="4" bestFit="1" customWidth="1"/>
    <col min="23" max="23" width="9" style="4" bestFit="1" customWidth="1"/>
    <col min="24" max="24" width="13.42578125" style="4" bestFit="1" customWidth="1"/>
    <col min="25" max="25" width="8" style="4" bestFit="1" customWidth="1"/>
    <col min="26" max="26" width="13.42578125" style="4" bestFit="1" customWidth="1"/>
    <col min="27" max="27" width="11.5703125" style="4" bestFit="1" customWidth="1"/>
    <col min="28" max="28" width="14.42578125" style="4" bestFit="1" customWidth="1"/>
    <col min="29" max="29" width="9" style="4" bestFit="1" customWidth="1"/>
    <col min="30" max="30" width="14.42578125" style="4" bestFit="1" customWidth="1"/>
    <col min="31" max="31" width="9" style="4" bestFit="1" customWidth="1"/>
    <col min="32" max="32" width="14.42578125" style="4" bestFit="1" customWidth="1"/>
    <col min="33" max="33" width="9.140625" style="4" bestFit="1" customWidth="1"/>
    <col min="34" max="34" width="14.42578125" style="4" bestFit="1" customWidth="1"/>
    <col min="35" max="35" width="11.42578125" style="4" bestFit="1" customWidth="1"/>
    <col min="36" max="36" width="14.42578125" style="4" bestFit="1" customWidth="1"/>
    <col min="37" max="37" width="9.42578125" style="4" bestFit="1" customWidth="1"/>
    <col min="38" max="38" width="14.42578125" style="4" bestFit="1" customWidth="1"/>
    <col min="39" max="39" width="8.42578125" style="4" bestFit="1" customWidth="1"/>
    <col min="40" max="40" width="11.42578125" style="4" customWidth="1"/>
    <col min="41" max="41" width="12.28515625" style="4" bestFit="1" customWidth="1"/>
    <col min="42" max="42" width="9.7109375" style="4" customWidth="1"/>
    <col min="43" max="43" width="7.140625" style="4" customWidth="1"/>
    <col min="44" max="44" width="11.28515625" style="4" customWidth="1"/>
    <col min="45" max="45" width="9.42578125" style="4" customWidth="1"/>
    <col min="46" max="46" width="10.5703125" style="4" customWidth="1"/>
    <col min="47" max="48" width="8.42578125" style="4" customWidth="1"/>
    <col min="49" max="49" width="12.5703125" style="4" customWidth="1"/>
    <col min="50" max="50" width="7.7109375" style="4" customWidth="1"/>
    <col min="51" max="51" width="15.28515625" style="4" customWidth="1"/>
    <col min="52" max="52" width="10.28515625" style="4" customWidth="1"/>
    <col min="53" max="53" width="15.5703125" style="4" customWidth="1"/>
    <col min="54" max="54" width="9.5703125" style="4" customWidth="1"/>
    <col min="55" max="55" width="10.5703125" style="4" customWidth="1"/>
    <col min="56" max="56" width="7" style="4" customWidth="1"/>
    <col min="57" max="57" width="9.28515625" style="4" customWidth="1"/>
    <col min="58" max="58" width="9.5703125" style="4" customWidth="1"/>
    <col min="59" max="59" width="14.140625" style="4" customWidth="1"/>
    <col min="60" max="60" width="9.42578125" style="4" customWidth="1"/>
    <col min="61" max="61" width="10.28515625" style="4" customWidth="1"/>
    <col min="62" max="62" width="11.42578125" style="4" customWidth="1"/>
    <col min="63" max="63" width="17.7109375" style="4" bestFit="1" customWidth="1"/>
    <col min="64" max="64" width="15.140625" style="4" customWidth="1"/>
    <col min="65" max="65" width="16.140625" style="4" customWidth="1"/>
    <col min="66" max="66" width="7" style="4" customWidth="1"/>
    <col min="67" max="67" width="6.5703125" style="4" customWidth="1"/>
    <col min="68" max="68" width="6.85546875" style="4" customWidth="1"/>
    <col min="69" max="69" width="7" style="4" customWidth="1"/>
    <col min="70" max="70" width="6.85546875" style="4" customWidth="1"/>
    <col min="71" max="71" width="5.5703125" style="4" customWidth="1"/>
    <col min="72" max="72" width="13" style="4" customWidth="1"/>
    <col min="73" max="74" width="7" style="4" customWidth="1"/>
    <col min="75" max="75" width="12" style="4" customWidth="1"/>
    <col min="76" max="76" width="7.5703125" style="4" customWidth="1"/>
    <col min="77" max="79" width="7" style="4" customWidth="1"/>
    <col min="80" max="80" width="12" style="4" customWidth="1"/>
    <col min="81" max="83" width="7.5703125" style="4" customWidth="1"/>
    <col min="84" max="84" width="17.85546875" style="4" customWidth="1"/>
    <col min="85" max="85" width="10.42578125" style="4" customWidth="1"/>
    <col min="86" max="86" width="12" style="4" customWidth="1"/>
    <col min="87" max="88" width="14.42578125" style="4" customWidth="1"/>
    <col min="89" max="89" width="13.28515625" style="4" customWidth="1"/>
    <col min="90" max="90" width="16.28515625" style="4" customWidth="1"/>
    <col min="91" max="91" width="22.28515625" style="4" customWidth="1"/>
    <col min="92" max="92" width="12.140625" style="4" hidden="1" customWidth="1"/>
    <col min="93" max="93" width="15.42578125" style="4" hidden="1" customWidth="1"/>
    <col min="94" max="95" width="9.140625" style="4" customWidth="1"/>
    <col min="96" max="16384" width="9.140625" style="4"/>
  </cols>
  <sheetData>
    <row r="1" spans="1:97" ht="23.25" x14ac:dyDescent="0.25">
      <c r="C1" s="106"/>
      <c r="F1" s="2" t="s">
        <v>152</v>
      </c>
      <c r="G1" s="2"/>
      <c r="H1" s="2"/>
      <c r="I1" s="2"/>
    </row>
    <row r="2" spans="1:97" ht="23.25" x14ac:dyDescent="0.25">
      <c r="F2" s="107" t="s">
        <v>3223</v>
      </c>
      <c r="G2" s="107"/>
      <c r="H2" s="107"/>
      <c r="I2" s="107"/>
      <c r="K2" s="2"/>
      <c r="L2" s="3"/>
    </row>
    <row r="3" spans="1:97" ht="20.25" x14ac:dyDescent="0.25">
      <c r="F3" s="30"/>
      <c r="G3" s="30"/>
      <c r="H3" s="30"/>
      <c r="I3" s="30"/>
    </row>
    <row r="4" spans="1:97" ht="15.75" customHeight="1" x14ac:dyDescent="0.25">
      <c r="A4" s="473" t="s">
        <v>15</v>
      </c>
      <c r="B4" s="473"/>
      <c r="C4" s="473"/>
      <c r="D4" s="473"/>
      <c r="E4" s="473"/>
      <c r="F4" s="473"/>
      <c r="G4" s="408"/>
      <c r="H4" s="408"/>
      <c r="I4" s="408"/>
      <c r="J4" s="474" t="s">
        <v>13</v>
      </c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501" t="s">
        <v>14</v>
      </c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1"/>
      <c r="BK4" s="108" t="s">
        <v>61</v>
      </c>
      <c r="BL4" s="502" t="s">
        <v>17</v>
      </c>
      <c r="BM4" s="503"/>
      <c r="BN4" s="504" t="s">
        <v>64</v>
      </c>
      <c r="BO4" s="505"/>
      <c r="BP4" s="505"/>
      <c r="BQ4" s="505"/>
      <c r="BR4" s="505"/>
      <c r="BS4" s="506"/>
      <c r="BT4" s="487" t="s">
        <v>19</v>
      </c>
      <c r="BU4" s="487"/>
      <c r="BV4" s="487"/>
      <c r="BW4" s="487"/>
      <c r="BX4" s="487"/>
      <c r="BY4" s="488" t="s">
        <v>25</v>
      </c>
      <c r="BZ4" s="488"/>
      <c r="CA4" s="488"/>
      <c r="CB4" s="488"/>
      <c r="CC4" s="488"/>
      <c r="CD4" s="464" t="s">
        <v>31</v>
      </c>
      <c r="CE4" s="465"/>
      <c r="CF4" s="465"/>
      <c r="CG4" s="465"/>
      <c r="CH4" s="465"/>
      <c r="CI4" s="465"/>
      <c r="CJ4" s="465"/>
      <c r="CK4" s="465"/>
      <c r="CL4" s="465"/>
      <c r="CM4" s="466"/>
    </row>
    <row r="5" spans="1:97" s="106" customFormat="1" ht="48.75" x14ac:dyDescent="0.25">
      <c r="A5" s="55" t="s">
        <v>68</v>
      </c>
      <c r="B5" s="56" t="s">
        <v>69</v>
      </c>
      <c r="C5" s="57" t="s">
        <v>0</v>
      </c>
      <c r="D5" s="58" t="s">
        <v>60</v>
      </c>
      <c r="E5" s="57" t="s">
        <v>2</v>
      </c>
      <c r="F5" s="59" t="s">
        <v>1</v>
      </c>
      <c r="G5" s="370" t="s">
        <v>2641</v>
      </c>
      <c r="H5" s="370" t="s">
        <v>2642</v>
      </c>
      <c r="I5" s="370" t="s">
        <v>2643</v>
      </c>
      <c r="J5" s="60" t="s">
        <v>3</v>
      </c>
      <c r="K5" s="383" t="s">
        <v>2563</v>
      </c>
      <c r="L5" s="61" t="s">
        <v>4</v>
      </c>
      <c r="M5" s="383" t="s">
        <v>2563</v>
      </c>
      <c r="N5" s="61" t="s">
        <v>5</v>
      </c>
      <c r="O5" s="383" t="s">
        <v>2563</v>
      </c>
      <c r="P5" s="61" t="s">
        <v>50</v>
      </c>
      <c r="Q5" s="383" t="s">
        <v>2563</v>
      </c>
      <c r="R5" s="61" t="s">
        <v>52</v>
      </c>
      <c r="S5" s="383" t="s">
        <v>2563</v>
      </c>
      <c r="T5" s="61" t="s">
        <v>53</v>
      </c>
      <c r="U5" s="383" t="s">
        <v>2563</v>
      </c>
      <c r="V5" s="61" t="s">
        <v>58</v>
      </c>
      <c r="W5" s="383" t="s">
        <v>2563</v>
      </c>
      <c r="X5" s="380" t="s">
        <v>2564</v>
      </c>
      <c r="Y5" s="383" t="s">
        <v>2563</v>
      </c>
      <c r="Z5" s="380" t="s">
        <v>2565</v>
      </c>
      <c r="AA5" s="383" t="s">
        <v>2563</v>
      </c>
      <c r="AB5" s="380" t="s">
        <v>2566</v>
      </c>
      <c r="AC5" s="383" t="s">
        <v>2563</v>
      </c>
      <c r="AD5" s="380" t="s">
        <v>2567</v>
      </c>
      <c r="AE5" s="383" t="s">
        <v>2563</v>
      </c>
      <c r="AF5" s="380" t="s">
        <v>2568</v>
      </c>
      <c r="AG5" s="383" t="s">
        <v>2563</v>
      </c>
      <c r="AH5" s="380" t="s">
        <v>2569</v>
      </c>
      <c r="AI5" s="383" t="s">
        <v>2563</v>
      </c>
      <c r="AJ5" s="380" t="s">
        <v>2570</v>
      </c>
      <c r="AK5" s="383" t="s">
        <v>2563</v>
      </c>
      <c r="AL5" s="380" t="s">
        <v>2571</v>
      </c>
      <c r="AM5" s="383" t="s">
        <v>2563</v>
      </c>
      <c r="AN5" s="109" t="s">
        <v>6</v>
      </c>
      <c r="AO5" s="109" t="s">
        <v>44</v>
      </c>
      <c r="AP5" s="109" t="s">
        <v>7</v>
      </c>
      <c r="AQ5" s="109" t="s">
        <v>33</v>
      </c>
      <c r="AR5" s="109" t="s">
        <v>8</v>
      </c>
      <c r="AS5" s="109" t="s">
        <v>45</v>
      </c>
      <c r="AT5" s="109" t="s">
        <v>9</v>
      </c>
      <c r="AU5" s="109" t="s">
        <v>49</v>
      </c>
      <c r="AV5" s="109" t="s">
        <v>10</v>
      </c>
      <c r="AW5" s="109" t="s">
        <v>48</v>
      </c>
      <c r="AX5" s="109" t="s">
        <v>46</v>
      </c>
      <c r="AY5" s="374" t="s">
        <v>86</v>
      </c>
      <c r="AZ5" s="109" t="s">
        <v>12</v>
      </c>
      <c r="BA5" s="109" t="s">
        <v>34</v>
      </c>
      <c r="BB5" s="109" t="s">
        <v>153</v>
      </c>
      <c r="BC5" s="109" t="s">
        <v>47</v>
      </c>
      <c r="BD5" s="109" t="s">
        <v>43</v>
      </c>
      <c r="BE5" s="109" t="s">
        <v>35</v>
      </c>
      <c r="BF5" s="109" t="s">
        <v>62</v>
      </c>
      <c r="BG5" s="109" t="s">
        <v>36</v>
      </c>
      <c r="BH5" s="109" t="s">
        <v>75</v>
      </c>
      <c r="BI5" s="109" t="s">
        <v>37</v>
      </c>
      <c r="BJ5" s="109" t="s">
        <v>11</v>
      </c>
      <c r="BK5" s="110" t="s">
        <v>18</v>
      </c>
      <c r="BL5" s="111" t="s">
        <v>16</v>
      </c>
      <c r="BM5" s="111" t="s">
        <v>51</v>
      </c>
      <c r="BN5" s="112" t="s">
        <v>20</v>
      </c>
      <c r="BO5" s="112" t="s">
        <v>21</v>
      </c>
      <c r="BP5" s="112" t="s">
        <v>22</v>
      </c>
      <c r="BQ5" s="112" t="s">
        <v>65</v>
      </c>
      <c r="BR5" s="112" t="s">
        <v>22</v>
      </c>
      <c r="BS5" s="112" t="s">
        <v>66</v>
      </c>
      <c r="BT5" s="113" t="s">
        <v>20</v>
      </c>
      <c r="BU5" s="113" t="s">
        <v>21</v>
      </c>
      <c r="BV5" s="113" t="s">
        <v>22</v>
      </c>
      <c r="BW5" s="113" t="s">
        <v>23</v>
      </c>
      <c r="BX5" s="113" t="s">
        <v>24</v>
      </c>
      <c r="BY5" s="114" t="s">
        <v>20</v>
      </c>
      <c r="BZ5" s="114" t="s">
        <v>21</v>
      </c>
      <c r="CA5" s="114" t="s">
        <v>22</v>
      </c>
      <c r="CB5" s="114" t="s">
        <v>23</v>
      </c>
      <c r="CC5" s="114" t="s">
        <v>24</v>
      </c>
      <c r="CD5" s="307" t="s">
        <v>2258</v>
      </c>
      <c r="CE5" s="307" t="s">
        <v>2259</v>
      </c>
      <c r="CF5" s="115" t="s">
        <v>42</v>
      </c>
      <c r="CG5" s="115" t="s">
        <v>26</v>
      </c>
      <c r="CH5" s="115" t="s">
        <v>27</v>
      </c>
      <c r="CI5" s="115" t="s">
        <v>28</v>
      </c>
      <c r="CJ5" s="115" t="s">
        <v>29</v>
      </c>
      <c r="CK5" s="115" t="s">
        <v>30</v>
      </c>
      <c r="CL5" s="115" t="s">
        <v>32</v>
      </c>
      <c r="CM5" s="115" t="s">
        <v>41</v>
      </c>
      <c r="CN5" s="116" t="s">
        <v>38</v>
      </c>
      <c r="CO5" s="116" t="s">
        <v>39</v>
      </c>
    </row>
    <row r="6" spans="1:97" x14ac:dyDescent="0.25">
      <c r="A6" s="393">
        <v>43545</v>
      </c>
      <c r="B6" s="453" t="s">
        <v>12</v>
      </c>
      <c r="C6" s="31" t="s">
        <v>3220</v>
      </c>
      <c r="D6" s="453" t="s">
        <v>54</v>
      </c>
      <c r="E6" s="394" t="s">
        <v>3221</v>
      </c>
      <c r="F6" s="404" t="s">
        <v>3224</v>
      </c>
      <c r="G6" s="407">
        <v>124434</v>
      </c>
      <c r="H6" s="404" t="s">
        <v>2638</v>
      </c>
      <c r="I6" s="404" t="s">
        <v>135</v>
      </c>
      <c r="J6" s="453" t="s">
        <v>520</v>
      </c>
      <c r="K6" s="453" t="s">
        <v>3222</v>
      </c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31"/>
      <c r="AO6" s="31"/>
      <c r="AP6" s="31"/>
      <c r="AQ6" s="33"/>
      <c r="AR6" s="31"/>
      <c r="AS6" s="33"/>
      <c r="AT6" s="25"/>
      <c r="AU6" s="41"/>
      <c r="AV6" s="453"/>
      <c r="AW6" s="41"/>
      <c r="AX6" s="453"/>
      <c r="AY6" s="453"/>
      <c r="AZ6" s="453"/>
      <c r="BA6" s="453"/>
      <c r="BB6" s="453"/>
      <c r="BC6" s="453"/>
      <c r="BD6" s="453"/>
      <c r="BE6" s="31"/>
      <c r="BF6" s="453"/>
      <c r="BG6" s="453"/>
      <c r="BH6" s="453"/>
      <c r="BI6" s="453"/>
      <c r="BJ6" s="25"/>
      <c r="BK6" s="171">
        <v>26.17</v>
      </c>
      <c r="BL6" s="396" t="s">
        <v>3225</v>
      </c>
      <c r="BM6" s="397">
        <v>10038568746303</v>
      </c>
      <c r="BN6" s="47">
        <v>7.36</v>
      </c>
      <c r="BO6" s="47">
        <v>0.59</v>
      </c>
      <c r="BP6" s="47">
        <v>12.44</v>
      </c>
      <c r="BQ6" s="149"/>
      <c r="BR6" s="149"/>
      <c r="BS6" s="149"/>
      <c r="BT6" s="47">
        <v>7.6769999999999996</v>
      </c>
      <c r="BU6" s="47">
        <v>0.70799999999999996</v>
      </c>
      <c r="BV6" s="47">
        <v>12.795</v>
      </c>
      <c r="BW6" s="47">
        <v>4.0245870000000003E-2</v>
      </c>
      <c r="BX6" s="47">
        <v>0.22</v>
      </c>
      <c r="BY6" s="399">
        <v>13.07</v>
      </c>
      <c r="BZ6" s="399">
        <v>7.95</v>
      </c>
      <c r="CA6" s="399">
        <v>2.5099999999999998</v>
      </c>
      <c r="CB6" s="47">
        <v>0.15092</v>
      </c>
      <c r="CC6" s="398">
        <v>0.51</v>
      </c>
      <c r="CD6" s="398">
        <v>0.49</v>
      </c>
      <c r="CE6" s="398">
        <f>CD6*3</f>
        <v>1.47</v>
      </c>
      <c r="CF6" s="75" t="s">
        <v>2424</v>
      </c>
      <c r="CG6" s="75">
        <v>3</v>
      </c>
      <c r="CH6" s="75">
        <v>15</v>
      </c>
      <c r="CI6" s="75">
        <v>21</v>
      </c>
      <c r="CJ6" s="154">
        <v>945</v>
      </c>
      <c r="CK6" s="154">
        <f>CJ6*CD6</f>
        <v>463.05</v>
      </c>
      <c r="CL6" s="75" t="s">
        <v>165</v>
      </c>
      <c r="CM6" s="25" t="s">
        <v>141</v>
      </c>
      <c r="CN6" s="25"/>
      <c r="CO6" s="25"/>
      <c r="CP6" s="14"/>
      <c r="CQ6" s="14"/>
    </row>
    <row r="7" spans="1:97" ht="24" x14ac:dyDescent="0.25">
      <c r="A7" s="393">
        <v>43553</v>
      </c>
      <c r="B7" s="455" t="s">
        <v>12</v>
      </c>
      <c r="C7" s="31" t="s">
        <v>3226</v>
      </c>
      <c r="D7" s="455" t="s">
        <v>54</v>
      </c>
      <c r="E7" s="394" t="s">
        <v>2440</v>
      </c>
      <c r="F7" s="404" t="s">
        <v>3237</v>
      </c>
      <c r="G7" s="407">
        <v>30000</v>
      </c>
      <c r="H7" s="404" t="s">
        <v>2638</v>
      </c>
      <c r="I7" s="404" t="s">
        <v>135</v>
      </c>
      <c r="J7" s="455" t="s">
        <v>3227</v>
      </c>
      <c r="K7" s="455">
        <v>7008043</v>
      </c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31" t="s">
        <v>3228</v>
      </c>
      <c r="AQ7" s="31"/>
      <c r="AR7" s="33" t="s">
        <v>3229</v>
      </c>
      <c r="AS7" s="33"/>
      <c r="AT7" s="25" t="s">
        <v>3230</v>
      </c>
      <c r="AU7" s="33"/>
      <c r="AV7" s="25"/>
      <c r="AW7" s="41"/>
      <c r="AX7" s="455"/>
      <c r="AY7" s="41"/>
      <c r="AZ7" s="455"/>
      <c r="BA7" s="455"/>
      <c r="BB7" s="455"/>
      <c r="BC7" s="455"/>
      <c r="BD7" s="455"/>
      <c r="BE7" s="455"/>
      <c r="BF7" s="455"/>
      <c r="BG7" s="31"/>
      <c r="BH7" s="455"/>
      <c r="BI7" s="455"/>
      <c r="BJ7" s="25" t="s">
        <v>3231</v>
      </c>
      <c r="BK7" s="171">
        <v>48.24</v>
      </c>
      <c r="BL7" s="396" t="s">
        <v>3238</v>
      </c>
      <c r="BM7" s="397">
        <v>10038568746143</v>
      </c>
      <c r="BN7" s="149"/>
      <c r="BO7" s="149"/>
      <c r="BP7" s="149"/>
      <c r="BQ7" s="47">
        <v>11.42</v>
      </c>
      <c r="BR7" s="47">
        <v>19.53</v>
      </c>
      <c r="BS7" s="149"/>
      <c r="BT7" s="149"/>
      <c r="BU7" s="149"/>
      <c r="BV7" s="149"/>
      <c r="BW7" s="149"/>
      <c r="BX7" s="149"/>
      <c r="BY7" s="399">
        <v>20.52</v>
      </c>
      <c r="BZ7" s="399">
        <v>12.52</v>
      </c>
      <c r="CA7" s="399">
        <v>12.86</v>
      </c>
      <c r="CB7" s="47">
        <v>0.52302349999999997</v>
      </c>
      <c r="CC7" s="398">
        <v>2</v>
      </c>
      <c r="CD7" s="398">
        <v>8.6</v>
      </c>
      <c r="CE7" s="398">
        <v>8.6</v>
      </c>
      <c r="CF7" s="75" t="s">
        <v>2466</v>
      </c>
      <c r="CG7" s="75">
        <v>1</v>
      </c>
      <c r="CH7" s="75">
        <v>9</v>
      </c>
      <c r="CI7" s="75">
        <v>2</v>
      </c>
      <c r="CJ7" s="154">
        <v>18</v>
      </c>
      <c r="CK7" s="154">
        <f>CJ7*CD7</f>
        <v>154.79999999999998</v>
      </c>
      <c r="CL7" s="75" t="s">
        <v>257</v>
      </c>
      <c r="CM7" s="25" t="s">
        <v>137</v>
      </c>
      <c r="CN7" s="14"/>
      <c r="CP7" s="10"/>
      <c r="CQ7" s="14"/>
      <c r="CR7" s="14"/>
      <c r="CS7" s="14"/>
    </row>
    <row r="8" spans="1:97" ht="24" x14ac:dyDescent="0.25">
      <c r="A8" s="393">
        <v>43553</v>
      </c>
      <c r="B8" s="455" t="s">
        <v>12</v>
      </c>
      <c r="C8" s="31" t="s">
        <v>3232</v>
      </c>
      <c r="D8" s="455" t="s">
        <v>54</v>
      </c>
      <c r="E8" s="404" t="s">
        <v>2440</v>
      </c>
      <c r="F8" s="404" t="s">
        <v>3233</v>
      </c>
      <c r="G8" s="407">
        <v>46208</v>
      </c>
      <c r="H8" s="404" t="s">
        <v>2638</v>
      </c>
      <c r="I8" s="404" t="s">
        <v>135</v>
      </c>
      <c r="J8" s="455" t="s">
        <v>3234</v>
      </c>
      <c r="K8" s="455">
        <v>10004113</v>
      </c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31" t="s">
        <v>3235</v>
      </c>
      <c r="AQ8" s="31"/>
      <c r="AR8" s="31"/>
      <c r="AS8" s="33"/>
      <c r="AT8" s="31"/>
      <c r="AU8" s="33"/>
      <c r="AV8" s="25"/>
      <c r="AW8" s="41"/>
      <c r="AX8" s="455"/>
      <c r="AY8" s="41"/>
      <c r="AZ8" s="455"/>
      <c r="BA8" s="455"/>
      <c r="BB8" s="455"/>
      <c r="BC8" s="455"/>
      <c r="BD8" s="455"/>
      <c r="BE8" s="455"/>
      <c r="BF8" s="455"/>
      <c r="BG8" s="31"/>
      <c r="BH8" s="455"/>
      <c r="BI8" s="455"/>
      <c r="BJ8" s="25" t="s">
        <v>3236</v>
      </c>
      <c r="BK8" s="171">
        <v>93.23</v>
      </c>
      <c r="BL8" s="396" t="s">
        <v>3239</v>
      </c>
      <c r="BM8" s="397">
        <v>10038568745764</v>
      </c>
      <c r="BN8" s="149"/>
      <c r="BO8" s="149"/>
      <c r="BP8" s="149"/>
      <c r="BQ8" s="47">
        <v>6.41</v>
      </c>
      <c r="BR8" s="47">
        <v>10.16</v>
      </c>
      <c r="BS8" s="149"/>
      <c r="BT8" s="149"/>
      <c r="BU8" s="149"/>
      <c r="BV8" s="149"/>
      <c r="BW8" s="149"/>
      <c r="BX8" s="149"/>
      <c r="BY8" s="399">
        <v>6.84</v>
      </c>
      <c r="BZ8" s="399">
        <v>6.84</v>
      </c>
      <c r="CA8" s="399">
        <v>13.18</v>
      </c>
      <c r="CB8" s="47">
        <v>2.8022979000000001</v>
      </c>
      <c r="CC8" s="398">
        <v>0.62</v>
      </c>
      <c r="CD8" s="398">
        <v>2.12</v>
      </c>
      <c r="CE8" s="398">
        <v>2.12</v>
      </c>
      <c r="CF8" s="75" t="s">
        <v>2466</v>
      </c>
      <c r="CG8" s="75">
        <v>1</v>
      </c>
      <c r="CH8" s="75">
        <v>21</v>
      </c>
      <c r="CI8" s="75">
        <v>6</v>
      </c>
      <c r="CJ8" s="154">
        <v>126</v>
      </c>
      <c r="CK8" s="154">
        <f>CJ8*CE8</f>
        <v>267.12</v>
      </c>
      <c r="CL8" s="75" t="s">
        <v>257</v>
      </c>
      <c r="CM8" s="25" t="s">
        <v>137</v>
      </c>
      <c r="CO8" s="10"/>
      <c r="CP8" s="14"/>
      <c r="CQ8" s="14"/>
      <c r="CR8" s="14"/>
    </row>
    <row r="9" spans="1:97" s="14" customFormat="1" ht="46.5" x14ac:dyDescent="0.25">
      <c r="A9" s="393">
        <v>43511</v>
      </c>
      <c r="B9" s="405" t="s">
        <v>12</v>
      </c>
      <c r="C9" s="31" t="s">
        <v>2636</v>
      </c>
      <c r="D9" s="405" t="s">
        <v>54</v>
      </c>
      <c r="E9" s="394" t="s">
        <v>59</v>
      </c>
      <c r="F9" s="404" t="s">
        <v>2637</v>
      </c>
      <c r="G9" s="407">
        <v>385843</v>
      </c>
      <c r="H9" s="404" t="s">
        <v>2638</v>
      </c>
      <c r="I9" s="404" t="s">
        <v>135</v>
      </c>
      <c r="J9" s="405" t="s">
        <v>895</v>
      </c>
      <c r="K9" s="405">
        <v>5303743</v>
      </c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31"/>
      <c r="AO9" s="31"/>
      <c r="AP9" s="31"/>
      <c r="AQ9" s="33"/>
      <c r="AR9" s="31"/>
      <c r="AS9" s="33"/>
      <c r="AT9" s="25" t="s">
        <v>2639</v>
      </c>
      <c r="AU9" s="25"/>
      <c r="AV9" s="25"/>
      <c r="AW9" s="41"/>
      <c r="AX9" s="405"/>
      <c r="AY9" s="405"/>
      <c r="AZ9" s="405"/>
      <c r="BA9" s="405"/>
      <c r="BB9" s="405"/>
      <c r="BC9" s="405"/>
      <c r="BD9" s="405"/>
      <c r="BE9" s="31"/>
      <c r="BF9" s="405"/>
      <c r="BG9" s="405"/>
      <c r="BH9" s="405"/>
      <c r="BI9" s="405"/>
      <c r="BJ9" s="25"/>
      <c r="BK9" s="171">
        <v>47.33</v>
      </c>
      <c r="BL9" s="396" t="s">
        <v>2640</v>
      </c>
      <c r="BM9" s="397">
        <v>10038568746792</v>
      </c>
      <c r="BN9" s="149"/>
      <c r="BO9" s="149"/>
      <c r="BP9" s="149"/>
      <c r="BQ9" s="47">
        <v>4.016</v>
      </c>
      <c r="BR9" s="47">
        <v>7.165</v>
      </c>
      <c r="BS9" s="149"/>
      <c r="BT9" s="149"/>
      <c r="BU9" s="149"/>
      <c r="BV9" s="149"/>
      <c r="BW9" s="149"/>
      <c r="BX9" s="149"/>
      <c r="BY9" s="399">
        <v>12.992000000000001</v>
      </c>
      <c r="BZ9" s="399">
        <v>8.8580000000000005</v>
      </c>
      <c r="CA9" s="399">
        <v>7.8739999999999997</v>
      </c>
      <c r="CB9" s="47">
        <v>0.52683899999999995</v>
      </c>
      <c r="CC9" s="398">
        <v>0.59</v>
      </c>
      <c r="CD9" s="398">
        <v>1.0983000000000001</v>
      </c>
      <c r="CE9" s="398">
        <f>CD9*6</f>
        <v>6.5898000000000003</v>
      </c>
      <c r="CF9" s="75" t="s">
        <v>2424</v>
      </c>
      <c r="CG9" s="75">
        <v>6</v>
      </c>
      <c r="CH9" s="75">
        <v>15</v>
      </c>
      <c r="CI9" s="75">
        <v>5</v>
      </c>
      <c r="CJ9" s="154">
        <v>450</v>
      </c>
      <c r="CK9" s="154">
        <f>CD9*CJ9</f>
        <v>494.23500000000001</v>
      </c>
      <c r="CL9" s="75" t="s">
        <v>165</v>
      </c>
      <c r="CM9" s="25" t="s">
        <v>151</v>
      </c>
      <c r="CN9" s="345"/>
      <c r="CO9" s="345"/>
      <c r="CP9" s="238"/>
      <c r="CQ9" s="337"/>
      <c r="CS9" s="337"/>
    </row>
    <row r="10" spans="1:97" s="14" customFormat="1" ht="46.5" x14ac:dyDescent="0.25">
      <c r="A10" s="393">
        <v>43476</v>
      </c>
      <c r="B10" s="403" t="s">
        <v>12</v>
      </c>
      <c r="C10" s="31" t="s">
        <v>2621</v>
      </c>
      <c r="D10" s="403" t="s">
        <v>54</v>
      </c>
      <c r="E10" s="394" t="s">
        <v>2622</v>
      </c>
      <c r="F10" s="404" t="s">
        <v>2635</v>
      </c>
      <c r="G10" s="404"/>
      <c r="H10" s="404"/>
      <c r="I10" s="404"/>
      <c r="J10" s="403" t="s">
        <v>706</v>
      </c>
      <c r="K10" s="403" t="s">
        <v>2623</v>
      </c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31"/>
      <c r="AO10" s="31"/>
      <c r="AP10" s="31"/>
      <c r="AQ10" s="33"/>
      <c r="AR10" s="31"/>
      <c r="AS10" s="33"/>
      <c r="AT10" s="25"/>
      <c r="AU10" s="41"/>
      <c r="AV10" s="403"/>
      <c r="AW10" s="41"/>
      <c r="AX10" s="403"/>
      <c r="AY10" s="403"/>
      <c r="AZ10" s="403"/>
      <c r="BA10" s="403"/>
      <c r="BB10" s="403"/>
      <c r="BC10" s="403"/>
      <c r="BD10" s="403"/>
      <c r="BE10" s="31"/>
      <c r="BF10" s="403"/>
      <c r="BG10" s="403"/>
      <c r="BH10" s="403"/>
      <c r="BI10" s="403"/>
      <c r="BJ10" s="25"/>
      <c r="BK10" s="171">
        <v>337.5</v>
      </c>
      <c r="BL10" s="396" t="s">
        <v>2631</v>
      </c>
      <c r="BM10" s="397">
        <v>10038568746907</v>
      </c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399">
        <v>15</v>
      </c>
      <c r="BZ10" s="399">
        <v>9.5</v>
      </c>
      <c r="CA10" s="399">
        <v>5.14</v>
      </c>
      <c r="CB10" s="47">
        <v>0.42380000000000001</v>
      </c>
      <c r="CC10" s="398">
        <v>0.7</v>
      </c>
      <c r="CD10" s="398">
        <v>7.68</v>
      </c>
      <c r="CE10" s="398">
        <v>7.68</v>
      </c>
      <c r="CF10" s="75" t="s">
        <v>2424</v>
      </c>
      <c r="CG10" s="75">
        <v>1</v>
      </c>
      <c r="CH10" s="75">
        <v>12</v>
      </c>
      <c r="CI10" s="75">
        <v>7</v>
      </c>
      <c r="CJ10" s="154">
        <v>84</v>
      </c>
      <c r="CK10" s="154">
        <f>CJ10*CE10</f>
        <v>645.12</v>
      </c>
      <c r="CL10" s="75" t="s">
        <v>2632</v>
      </c>
      <c r="CM10" s="25" t="s">
        <v>151</v>
      </c>
      <c r="CN10" s="75"/>
      <c r="CO10" s="25"/>
      <c r="CP10" s="345"/>
      <c r="CQ10" s="400"/>
      <c r="CR10" s="238"/>
      <c r="CS10" s="337"/>
    </row>
    <row r="11" spans="1:97" s="14" customFormat="1" x14ac:dyDescent="0.25">
      <c r="A11" s="393">
        <v>43476</v>
      </c>
      <c r="B11" s="403" t="s">
        <v>12</v>
      </c>
      <c r="C11" s="31" t="s">
        <v>2624</v>
      </c>
      <c r="D11" s="403" t="s">
        <v>54</v>
      </c>
      <c r="E11" s="170" t="s">
        <v>2562</v>
      </c>
      <c r="F11" s="404" t="s">
        <v>2625</v>
      </c>
      <c r="G11" s="404"/>
      <c r="H11" s="404"/>
      <c r="I11" s="404"/>
      <c r="J11" s="403" t="s">
        <v>895</v>
      </c>
      <c r="K11" s="403">
        <v>3986767</v>
      </c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31" t="s">
        <v>2626</v>
      </c>
      <c r="AO11" s="31"/>
      <c r="AP11" s="31"/>
      <c r="AQ11" s="33"/>
      <c r="AR11" s="31"/>
      <c r="AS11" s="33"/>
      <c r="AT11" s="25"/>
      <c r="AU11" s="41"/>
      <c r="AV11" s="403"/>
      <c r="AW11" s="41"/>
      <c r="AX11" s="403"/>
      <c r="AY11" s="403"/>
      <c r="AZ11" s="403"/>
      <c r="BA11" s="403"/>
      <c r="BB11" s="403"/>
      <c r="BC11" s="403"/>
      <c r="BD11" s="403"/>
      <c r="BE11" s="31"/>
      <c r="BF11" s="403"/>
      <c r="BG11" s="403"/>
      <c r="BH11" s="403"/>
      <c r="BI11" s="403"/>
      <c r="BJ11" s="25" t="s">
        <v>2627</v>
      </c>
      <c r="BK11" s="171">
        <v>98.42</v>
      </c>
      <c r="BL11" s="396" t="s">
        <v>2633</v>
      </c>
      <c r="BM11" s="397">
        <v>10038568746549</v>
      </c>
      <c r="BN11" s="149"/>
      <c r="BO11" s="149"/>
      <c r="BP11" s="149"/>
      <c r="BQ11" s="165">
        <v>2.63</v>
      </c>
      <c r="BR11" s="165">
        <v>3.8860000000000001</v>
      </c>
      <c r="BS11" s="165"/>
      <c r="BT11" s="157">
        <v>2.76</v>
      </c>
      <c r="BU11" s="157">
        <v>2.76</v>
      </c>
      <c r="BV11" s="157">
        <v>4.2</v>
      </c>
      <c r="BW11" s="47">
        <v>1.7999999999999999E-2</v>
      </c>
      <c r="BX11" s="398">
        <v>0.02</v>
      </c>
      <c r="BY11" s="399">
        <v>5.75</v>
      </c>
      <c r="BZ11" s="399">
        <v>4.76</v>
      </c>
      <c r="CA11" s="399">
        <v>8.5</v>
      </c>
      <c r="CB11" s="47">
        <v>0.13400000000000001</v>
      </c>
      <c r="CC11" s="398">
        <v>0.21</v>
      </c>
      <c r="CD11" s="398">
        <v>0.183</v>
      </c>
      <c r="CE11" s="398">
        <f>CD11*6</f>
        <v>1.0979999999999999</v>
      </c>
      <c r="CF11" s="75" t="s">
        <v>2424</v>
      </c>
      <c r="CG11" s="75">
        <v>6</v>
      </c>
      <c r="CH11" s="75">
        <v>30</v>
      </c>
      <c r="CI11" s="75">
        <v>8</v>
      </c>
      <c r="CJ11" s="154">
        <v>1440</v>
      </c>
      <c r="CK11" s="154">
        <f>CD11*CJ11</f>
        <v>263.52</v>
      </c>
      <c r="CL11" s="75" t="s">
        <v>165</v>
      </c>
      <c r="CM11" s="25" t="s">
        <v>151</v>
      </c>
      <c r="CN11" s="75"/>
      <c r="CO11" s="25"/>
      <c r="CP11" s="345"/>
      <c r="CQ11" s="400"/>
      <c r="CR11" s="238"/>
      <c r="CS11" s="337"/>
    </row>
    <row r="12" spans="1:97" s="14" customFormat="1" x14ac:dyDescent="0.25">
      <c r="A12" s="393">
        <v>43476</v>
      </c>
      <c r="B12" s="403" t="s">
        <v>12</v>
      </c>
      <c r="C12" s="31" t="s">
        <v>2628</v>
      </c>
      <c r="D12" s="403" t="s">
        <v>54</v>
      </c>
      <c r="E12" s="170" t="s">
        <v>2562</v>
      </c>
      <c r="F12" s="404" t="s">
        <v>2629</v>
      </c>
      <c r="G12" s="404"/>
      <c r="H12" s="404"/>
      <c r="I12" s="404"/>
      <c r="J12" s="403" t="s">
        <v>895</v>
      </c>
      <c r="K12" s="403">
        <v>3967874</v>
      </c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31" t="s">
        <v>2630</v>
      </c>
      <c r="AO12" s="31"/>
      <c r="AP12" s="31"/>
      <c r="AQ12" s="33"/>
      <c r="AR12" s="31"/>
      <c r="AS12" s="33"/>
      <c r="AT12" s="25"/>
      <c r="AU12" s="41"/>
      <c r="AV12" s="403"/>
      <c r="AW12" s="41"/>
      <c r="AX12" s="403"/>
      <c r="AY12" s="403"/>
      <c r="AZ12" s="403"/>
      <c r="BA12" s="403"/>
      <c r="BB12" s="403"/>
      <c r="BC12" s="403"/>
      <c r="BD12" s="403"/>
      <c r="BE12" s="31"/>
      <c r="BF12" s="403"/>
      <c r="BG12" s="403"/>
      <c r="BH12" s="403"/>
      <c r="BI12" s="403"/>
      <c r="BJ12" s="25"/>
      <c r="BK12" s="171">
        <v>104.98</v>
      </c>
      <c r="BL12" s="396" t="s">
        <v>2634</v>
      </c>
      <c r="BM12" s="397">
        <v>10038568746556</v>
      </c>
      <c r="BN12" s="149"/>
      <c r="BO12" s="149"/>
      <c r="BP12" s="149"/>
      <c r="BQ12" s="165">
        <v>2.7360000000000002</v>
      </c>
      <c r="BR12" s="165">
        <v>2.7240000000000002</v>
      </c>
      <c r="BS12" s="165"/>
      <c r="BT12" s="157">
        <v>2.75</v>
      </c>
      <c r="BU12" s="157">
        <v>2.75</v>
      </c>
      <c r="BV12" s="157">
        <v>4.25</v>
      </c>
      <c r="BW12" s="47">
        <v>1.8499999999999999E-2</v>
      </c>
      <c r="BX12" s="398">
        <v>0.02</v>
      </c>
      <c r="BY12" s="399">
        <v>5.74</v>
      </c>
      <c r="BZ12" s="399">
        <v>4.76</v>
      </c>
      <c r="CA12" s="399">
        <v>8.5</v>
      </c>
      <c r="CB12" s="47">
        <v>0.1343</v>
      </c>
      <c r="CC12" s="398">
        <v>0.21</v>
      </c>
      <c r="CD12" s="398">
        <v>0.55500000000000005</v>
      </c>
      <c r="CE12" s="398">
        <f>CD12*CG12</f>
        <v>3.33</v>
      </c>
      <c r="CF12" s="75" t="s">
        <v>2424</v>
      </c>
      <c r="CG12" s="75">
        <v>6</v>
      </c>
      <c r="CH12" s="75">
        <v>30</v>
      </c>
      <c r="CI12" s="75">
        <v>8</v>
      </c>
      <c r="CJ12" s="154">
        <v>1440</v>
      </c>
      <c r="CK12" s="154">
        <f>CJ12*CD12</f>
        <v>799.2</v>
      </c>
      <c r="CL12" s="75" t="s">
        <v>165</v>
      </c>
      <c r="CM12" s="25" t="s">
        <v>151</v>
      </c>
      <c r="CN12" s="75"/>
      <c r="CO12" s="25"/>
      <c r="CP12" s="345"/>
      <c r="CQ12" s="345"/>
      <c r="CR12" s="238"/>
      <c r="CS12" s="337"/>
    </row>
    <row r="13" spans="1:97" s="14" customFormat="1" ht="24" x14ac:dyDescent="0.25">
      <c r="A13" s="393">
        <v>43469</v>
      </c>
      <c r="B13" s="392" t="s">
        <v>12</v>
      </c>
      <c r="C13" s="31" t="s">
        <v>2600</v>
      </c>
      <c r="D13" s="392" t="s">
        <v>54</v>
      </c>
      <c r="E13" s="342" t="s">
        <v>2601</v>
      </c>
      <c r="F13" s="395" t="s">
        <v>2607</v>
      </c>
      <c r="G13" s="395"/>
      <c r="H13" s="395"/>
      <c r="I13" s="395"/>
      <c r="J13" s="392" t="s">
        <v>520</v>
      </c>
      <c r="K13" s="392" t="s">
        <v>2602</v>
      </c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1" t="s">
        <v>2603</v>
      </c>
      <c r="AO13" s="31"/>
      <c r="AP13" s="31">
        <v>86695</v>
      </c>
      <c r="AQ13" s="33"/>
      <c r="AR13" s="31"/>
      <c r="AS13" s="33"/>
      <c r="AT13" s="25" t="s">
        <v>2604</v>
      </c>
      <c r="AU13" s="41"/>
      <c r="AV13" s="392"/>
      <c r="AW13" s="41"/>
      <c r="AX13" s="392"/>
      <c r="AY13" s="392"/>
      <c r="AZ13" s="392"/>
      <c r="BA13" s="392"/>
      <c r="BB13" s="392"/>
      <c r="BC13" s="392"/>
      <c r="BD13" s="392">
        <v>3695</v>
      </c>
      <c r="BE13" s="31" t="s">
        <v>2605</v>
      </c>
      <c r="BF13" s="392"/>
      <c r="BG13" s="392"/>
      <c r="BH13" s="392"/>
      <c r="BI13" s="392"/>
      <c r="BJ13" s="25">
        <v>33695</v>
      </c>
      <c r="BK13" s="171">
        <v>23.34</v>
      </c>
      <c r="BL13" s="396" t="s">
        <v>2606</v>
      </c>
      <c r="BM13" s="397">
        <v>10038568744040</v>
      </c>
      <c r="BN13" s="149"/>
      <c r="BO13" s="149"/>
      <c r="BP13" s="149"/>
      <c r="BQ13" s="165">
        <v>2.165</v>
      </c>
      <c r="BR13" s="165">
        <v>3.778</v>
      </c>
      <c r="BS13" s="165"/>
      <c r="BT13" s="157">
        <v>2.2799999999999998</v>
      </c>
      <c r="BU13" s="157">
        <v>2.2799999999999998</v>
      </c>
      <c r="BV13" s="157">
        <v>3.93</v>
      </c>
      <c r="BW13" s="47">
        <v>1.18E-2</v>
      </c>
      <c r="BX13" s="398">
        <v>0.06</v>
      </c>
      <c r="BY13" s="399">
        <v>7.24</v>
      </c>
      <c r="BZ13" s="399">
        <v>4.76</v>
      </c>
      <c r="CA13" s="399">
        <v>4.0199999999999996</v>
      </c>
      <c r="CB13" s="47">
        <v>8.0170000000000005E-2</v>
      </c>
      <c r="CC13" s="398">
        <v>0.21</v>
      </c>
      <c r="CD13" s="398">
        <v>0.39600000000000002</v>
      </c>
      <c r="CE13" s="398">
        <v>2.37</v>
      </c>
      <c r="CF13" s="75" t="s">
        <v>2424</v>
      </c>
      <c r="CG13" s="75">
        <v>6</v>
      </c>
      <c r="CH13" s="75">
        <v>42</v>
      </c>
      <c r="CI13" s="75">
        <v>9</v>
      </c>
      <c r="CJ13" s="154">
        <v>2268</v>
      </c>
      <c r="CK13" s="154">
        <f>CJ13*CD13</f>
        <v>898.12800000000004</v>
      </c>
      <c r="CL13" s="75" t="s">
        <v>140</v>
      </c>
      <c r="CM13" s="25" t="s">
        <v>151</v>
      </c>
      <c r="CN13" s="75" t="s">
        <v>140</v>
      </c>
      <c r="CO13" s="25" t="s">
        <v>151</v>
      </c>
      <c r="CP13" s="345"/>
      <c r="CQ13" s="400"/>
      <c r="CR13" s="238"/>
      <c r="CS13" s="337"/>
    </row>
    <row r="14" spans="1:97" s="14" customFormat="1" ht="46.5" x14ac:dyDescent="0.25">
      <c r="A14" s="393">
        <v>43469</v>
      </c>
      <c r="B14" s="401" t="s">
        <v>12</v>
      </c>
      <c r="C14" s="31" t="s">
        <v>2609</v>
      </c>
      <c r="D14" s="401" t="s">
        <v>54</v>
      </c>
      <c r="E14" s="402" t="s">
        <v>2610</v>
      </c>
      <c r="F14" s="395" t="s">
        <v>2611</v>
      </c>
      <c r="G14" s="395"/>
      <c r="H14" s="395"/>
      <c r="I14" s="395"/>
      <c r="J14" s="401" t="s">
        <v>706</v>
      </c>
      <c r="K14" s="342" t="s">
        <v>2612</v>
      </c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31" t="s">
        <v>2613</v>
      </c>
      <c r="AO14" s="31"/>
      <c r="AP14" s="31"/>
      <c r="AQ14" s="33"/>
      <c r="AR14" s="31" t="s">
        <v>2614</v>
      </c>
      <c r="AS14" s="33"/>
      <c r="AT14" s="391" t="s">
        <v>2615</v>
      </c>
      <c r="AU14" s="41"/>
      <c r="AV14" s="401"/>
      <c r="AW14" s="41"/>
      <c r="AX14" s="401"/>
      <c r="AY14" s="401"/>
      <c r="AZ14" s="401"/>
      <c r="BA14" s="401"/>
      <c r="BB14" s="401"/>
      <c r="BC14" s="401"/>
      <c r="BD14" s="401"/>
      <c r="BE14" s="31"/>
      <c r="BF14" s="401"/>
      <c r="BG14" s="401"/>
      <c r="BH14" s="401"/>
      <c r="BI14" s="401"/>
      <c r="BJ14" s="25"/>
      <c r="BK14" s="171">
        <v>125.77</v>
      </c>
      <c r="BL14" s="396" t="s">
        <v>2619</v>
      </c>
      <c r="BM14" s="397">
        <v>10038568746020</v>
      </c>
      <c r="BN14" s="149"/>
      <c r="BO14" s="149"/>
      <c r="BP14" s="149"/>
      <c r="BQ14" s="165">
        <v>13.06</v>
      </c>
      <c r="BR14" s="165">
        <v>25.73</v>
      </c>
      <c r="BS14" s="165"/>
      <c r="BT14" s="157"/>
      <c r="BU14" s="157"/>
      <c r="BV14" s="157"/>
      <c r="BW14" s="47"/>
      <c r="BX14" s="398"/>
      <c r="BY14" s="399">
        <v>26.52</v>
      </c>
      <c r="BZ14" s="399">
        <v>14.34</v>
      </c>
      <c r="CA14" s="399">
        <v>14.68</v>
      </c>
      <c r="CB14" s="47">
        <v>3.23</v>
      </c>
      <c r="CC14" s="398">
        <v>2.85</v>
      </c>
      <c r="CD14" s="398">
        <v>13.52</v>
      </c>
      <c r="CE14" s="398">
        <v>13.52</v>
      </c>
      <c r="CF14" s="75" t="s">
        <v>2424</v>
      </c>
      <c r="CG14" s="75">
        <v>1</v>
      </c>
      <c r="CH14" s="75">
        <v>6</v>
      </c>
      <c r="CI14" s="75">
        <v>1</v>
      </c>
      <c r="CJ14" s="154">
        <v>6</v>
      </c>
      <c r="CK14" s="154">
        <f>CE14*6</f>
        <v>81.12</v>
      </c>
      <c r="CL14" s="75" t="s">
        <v>257</v>
      </c>
      <c r="CM14" s="25" t="s">
        <v>137</v>
      </c>
      <c r="CN14" s="75" t="s">
        <v>257</v>
      </c>
      <c r="CO14" s="25" t="s">
        <v>137</v>
      </c>
      <c r="CP14" s="345"/>
      <c r="CQ14" s="400"/>
      <c r="CR14" s="238"/>
      <c r="CS14" s="337"/>
    </row>
    <row r="15" spans="1:97" s="14" customFormat="1" ht="46.5" x14ac:dyDescent="0.25">
      <c r="A15" s="393">
        <v>43469</v>
      </c>
      <c r="B15" s="401" t="s">
        <v>12</v>
      </c>
      <c r="C15" s="31" t="s">
        <v>2616</v>
      </c>
      <c r="D15" s="401" t="s">
        <v>54</v>
      </c>
      <c r="E15" s="402" t="s">
        <v>2617</v>
      </c>
      <c r="F15" s="395" t="s">
        <v>2611</v>
      </c>
      <c r="G15" s="395"/>
      <c r="H15" s="395"/>
      <c r="I15" s="395"/>
      <c r="J15" s="401" t="s">
        <v>706</v>
      </c>
      <c r="K15" s="342" t="s">
        <v>2618</v>
      </c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31" t="s">
        <v>2613</v>
      </c>
      <c r="AO15" s="31"/>
      <c r="AP15" s="31"/>
      <c r="AQ15" s="33"/>
      <c r="AR15" s="31" t="s">
        <v>2447</v>
      </c>
      <c r="AS15" s="33"/>
      <c r="AT15" s="391" t="s">
        <v>2615</v>
      </c>
      <c r="AU15" s="41"/>
      <c r="AV15" s="401"/>
      <c r="AW15" s="41"/>
      <c r="AX15" s="401"/>
      <c r="AY15" s="401"/>
      <c r="AZ15" s="401"/>
      <c r="BA15" s="401"/>
      <c r="BB15" s="401"/>
      <c r="BC15" s="401"/>
      <c r="BD15" s="401"/>
      <c r="BE15" s="31"/>
      <c r="BF15" s="401"/>
      <c r="BG15" s="401"/>
      <c r="BH15" s="401"/>
      <c r="BI15" s="401"/>
      <c r="BJ15" s="25"/>
      <c r="BK15" s="171">
        <v>173.01</v>
      </c>
      <c r="BL15" s="396" t="s">
        <v>2620</v>
      </c>
      <c r="BM15" s="397">
        <v>10038568746013</v>
      </c>
      <c r="BN15" s="149"/>
      <c r="BO15" s="149"/>
      <c r="BP15" s="149"/>
      <c r="BQ15" s="165">
        <v>13.06</v>
      </c>
      <c r="BR15" s="165">
        <v>25.73</v>
      </c>
      <c r="BS15" s="165"/>
      <c r="BT15" s="157"/>
      <c r="BU15" s="157"/>
      <c r="BV15" s="157"/>
      <c r="BW15" s="47"/>
      <c r="BX15" s="398"/>
      <c r="BY15" s="399">
        <v>26.52</v>
      </c>
      <c r="BZ15" s="399">
        <v>14.34</v>
      </c>
      <c r="CA15" s="399">
        <v>14.68</v>
      </c>
      <c r="CB15" s="47">
        <v>3.23</v>
      </c>
      <c r="CC15" s="398">
        <v>2.85</v>
      </c>
      <c r="CD15" s="398">
        <v>13.52</v>
      </c>
      <c r="CE15" s="398">
        <v>13.52</v>
      </c>
      <c r="CF15" s="75" t="s">
        <v>2424</v>
      </c>
      <c r="CG15" s="75">
        <v>1</v>
      </c>
      <c r="CH15" s="75">
        <v>6</v>
      </c>
      <c r="CI15" s="75">
        <v>1</v>
      </c>
      <c r="CJ15" s="154">
        <v>6</v>
      </c>
      <c r="CK15" s="154">
        <f>CE15*6</f>
        <v>81.12</v>
      </c>
      <c r="CL15" s="75" t="s">
        <v>257</v>
      </c>
      <c r="CM15" s="25" t="s">
        <v>137</v>
      </c>
      <c r="CN15" s="75" t="s">
        <v>257</v>
      </c>
      <c r="CO15" s="25" t="s">
        <v>137</v>
      </c>
      <c r="CP15" s="345"/>
      <c r="CQ15" s="400"/>
      <c r="CR15" s="238"/>
      <c r="CS15" s="337"/>
    </row>
    <row r="16" spans="1:97" s="14" customFormat="1" x14ac:dyDescent="0.25">
      <c r="A16" s="359">
        <v>43409</v>
      </c>
      <c r="B16" s="388" t="s">
        <v>12</v>
      </c>
      <c r="C16" s="31" t="s">
        <v>2552</v>
      </c>
      <c r="D16" s="388" t="s">
        <v>54</v>
      </c>
      <c r="E16" s="170" t="s">
        <v>2562</v>
      </c>
      <c r="F16" s="26" t="s">
        <v>2553</v>
      </c>
      <c r="G16" s="26"/>
      <c r="H16" s="26"/>
      <c r="I16" s="26"/>
      <c r="J16" s="388" t="s">
        <v>895</v>
      </c>
      <c r="K16" s="26">
        <v>5303604</v>
      </c>
      <c r="L16" s="388" t="s">
        <v>44</v>
      </c>
      <c r="M16" s="388" t="s">
        <v>2554</v>
      </c>
      <c r="N16" s="388" t="s">
        <v>895</v>
      </c>
      <c r="O16" s="388">
        <v>2880298</v>
      </c>
      <c r="P16" s="388" t="s">
        <v>895</v>
      </c>
      <c r="Q16" s="388">
        <v>2888182</v>
      </c>
      <c r="R16" s="388" t="s">
        <v>722</v>
      </c>
      <c r="S16" s="388">
        <v>21496419</v>
      </c>
      <c r="T16" s="388" t="s">
        <v>722</v>
      </c>
      <c r="U16" s="388">
        <v>21516229</v>
      </c>
      <c r="V16" s="388" t="s">
        <v>722</v>
      </c>
      <c r="W16" s="388">
        <v>97177027</v>
      </c>
      <c r="X16" s="388" t="s">
        <v>227</v>
      </c>
      <c r="Y16" s="388">
        <v>3783187</v>
      </c>
      <c r="Z16" s="388" t="s">
        <v>334</v>
      </c>
      <c r="AA16" s="388" t="s">
        <v>2558</v>
      </c>
      <c r="AB16" s="388" t="s">
        <v>1973</v>
      </c>
      <c r="AC16" s="388">
        <v>21496421</v>
      </c>
      <c r="AD16" s="388" t="s">
        <v>1973</v>
      </c>
      <c r="AE16" s="388">
        <v>21516231</v>
      </c>
      <c r="AF16" s="388" t="s">
        <v>2559</v>
      </c>
      <c r="AG16" s="388" t="s">
        <v>2560</v>
      </c>
      <c r="AH16" s="390" t="s">
        <v>2561</v>
      </c>
      <c r="AI16" s="390">
        <v>2934690</v>
      </c>
      <c r="AJ16" s="390" t="s">
        <v>2561</v>
      </c>
      <c r="AK16" s="390">
        <v>4601354</v>
      </c>
      <c r="AL16" s="390" t="s">
        <v>2561</v>
      </c>
      <c r="AM16" s="390">
        <v>4602317</v>
      </c>
      <c r="AN16" s="31"/>
      <c r="AO16" s="31" t="s">
        <v>2588</v>
      </c>
      <c r="AP16" s="31"/>
      <c r="AQ16" s="33"/>
      <c r="AR16" s="31"/>
      <c r="AS16" s="33"/>
      <c r="AT16" s="25" t="s">
        <v>2555</v>
      </c>
      <c r="AU16" s="41"/>
      <c r="AV16" s="388"/>
      <c r="AW16" s="41" t="s">
        <v>2589</v>
      </c>
      <c r="AX16" s="388"/>
      <c r="AY16" s="388"/>
      <c r="AZ16" s="388"/>
      <c r="BA16" s="388" t="s">
        <v>2590</v>
      </c>
      <c r="BB16" s="388"/>
      <c r="BC16" s="388"/>
      <c r="BD16" s="388"/>
      <c r="BE16" s="31"/>
      <c r="BF16" s="388"/>
      <c r="BG16" s="388"/>
      <c r="BH16" s="388"/>
      <c r="BI16" s="388"/>
      <c r="BJ16" s="25" t="s">
        <v>2556</v>
      </c>
      <c r="BK16" s="171">
        <v>101.95</v>
      </c>
      <c r="BL16" s="379" t="s">
        <v>2557</v>
      </c>
      <c r="BM16" s="188">
        <v>10038568746419</v>
      </c>
      <c r="BN16" s="38"/>
      <c r="BO16" s="38"/>
      <c r="BP16" s="38"/>
      <c r="BQ16" s="387">
        <v>2.09</v>
      </c>
      <c r="BR16" s="387">
        <v>3.7589999999999999</v>
      </c>
      <c r="BS16" s="387"/>
      <c r="BT16" s="117">
        <v>2.2400000000000002</v>
      </c>
      <c r="BU16" s="117">
        <v>2.2400000000000002</v>
      </c>
      <c r="BV16" s="117">
        <v>5.51</v>
      </c>
      <c r="BW16" s="389">
        <v>1.6E-2</v>
      </c>
      <c r="BX16" s="189">
        <v>3.3000000000000002E-2</v>
      </c>
      <c r="BY16" s="190">
        <v>9.84</v>
      </c>
      <c r="BZ16" s="190">
        <v>7.48</v>
      </c>
      <c r="CA16" s="190">
        <v>6.29</v>
      </c>
      <c r="CB16" s="389">
        <v>0.26916000000000001</v>
      </c>
      <c r="CC16" s="189">
        <v>0.04</v>
      </c>
      <c r="CD16" s="189">
        <v>0.57299999999999995</v>
      </c>
      <c r="CE16" s="189">
        <f>CD16*12</f>
        <v>6.8759999999999994</v>
      </c>
      <c r="CF16" s="72" t="s">
        <v>2424</v>
      </c>
      <c r="CG16" s="72">
        <v>12</v>
      </c>
      <c r="CH16" s="72">
        <v>20</v>
      </c>
      <c r="CI16" s="72">
        <v>6</v>
      </c>
      <c r="CJ16" s="27">
        <v>1440</v>
      </c>
      <c r="CK16" s="27">
        <f>CJ16*CD16</f>
        <v>825.11999999999989</v>
      </c>
      <c r="CL16" s="72" t="s">
        <v>140</v>
      </c>
      <c r="CM16" s="25" t="s">
        <v>151</v>
      </c>
      <c r="CN16" s="345"/>
      <c r="CO16" s="345"/>
      <c r="CP16" s="238"/>
      <c r="CQ16" s="337"/>
    </row>
    <row r="17" spans="1:99" x14ac:dyDescent="0.25">
      <c r="A17" s="359">
        <v>43409</v>
      </c>
      <c r="B17" s="388" t="s">
        <v>12</v>
      </c>
      <c r="C17" s="31" t="s">
        <v>2591</v>
      </c>
      <c r="D17" s="388" t="s">
        <v>54</v>
      </c>
      <c r="E17" s="170" t="s">
        <v>2562</v>
      </c>
      <c r="F17" s="26" t="s">
        <v>2592</v>
      </c>
      <c r="G17" s="26"/>
      <c r="H17" s="26"/>
      <c r="I17" s="26"/>
      <c r="J17" s="388" t="s">
        <v>2477</v>
      </c>
      <c r="K17" s="26" t="s">
        <v>2593</v>
      </c>
      <c r="L17" s="388" t="s">
        <v>2594</v>
      </c>
      <c r="M17" s="388" t="s">
        <v>2595</v>
      </c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91" t="s">
        <v>2596</v>
      </c>
      <c r="AO17" s="31"/>
      <c r="AP17" s="31"/>
      <c r="AQ17" s="33"/>
      <c r="AR17" s="31"/>
      <c r="AS17" s="33"/>
      <c r="AT17" s="25" t="s">
        <v>2597</v>
      </c>
      <c r="AU17" s="41"/>
      <c r="AV17" s="388"/>
      <c r="AW17" s="388" t="s">
        <v>2598</v>
      </c>
      <c r="AX17" s="388"/>
      <c r="AY17" s="388"/>
      <c r="AZ17" s="388"/>
      <c r="BA17" s="388"/>
      <c r="BB17" s="388"/>
      <c r="BC17" s="388"/>
      <c r="BD17" s="388"/>
      <c r="BE17" s="31"/>
      <c r="BF17" s="388"/>
      <c r="BG17" s="388"/>
      <c r="BH17" s="388"/>
      <c r="BI17" s="388"/>
      <c r="BJ17" s="25"/>
      <c r="BK17" s="171">
        <v>43.44</v>
      </c>
      <c r="BL17" s="379" t="s">
        <v>2599</v>
      </c>
      <c r="BM17" s="188">
        <v>10038568746402</v>
      </c>
      <c r="BN17" s="38"/>
      <c r="BO17" s="38"/>
      <c r="BP17" s="38"/>
      <c r="BQ17" s="387">
        <v>2.7949999999999999</v>
      </c>
      <c r="BR17" s="387">
        <v>3.8780000000000001</v>
      </c>
      <c r="BS17" s="387"/>
      <c r="BT17" s="117">
        <v>3.14</v>
      </c>
      <c r="BU17" s="117">
        <v>3.14</v>
      </c>
      <c r="BV17" s="117">
        <v>4.37</v>
      </c>
      <c r="BW17" s="389">
        <v>2.4899999999999999E-2</v>
      </c>
      <c r="BX17" s="189">
        <v>0.04</v>
      </c>
      <c r="BY17" s="190">
        <v>12.99</v>
      </c>
      <c r="BZ17" s="190">
        <v>9.84</v>
      </c>
      <c r="CA17" s="190">
        <v>5.35</v>
      </c>
      <c r="CB17" s="389">
        <v>0.3957</v>
      </c>
      <c r="CC17" s="189">
        <v>5.8999999999999997E-2</v>
      </c>
      <c r="CD17" s="189">
        <v>0.59916000000000003</v>
      </c>
      <c r="CE17" s="189">
        <v>7.1879999999999997</v>
      </c>
      <c r="CF17" s="72" t="s">
        <v>2424</v>
      </c>
      <c r="CG17" s="72">
        <v>12</v>
      </c>
      <c r="CH17" s="72">
        <v>11</v>
      </c>
      <c r="CI17" s="72">
        <v>7</v>
      </c>
      <c r="CJ17" s="27">
        <v>924</v>
      </c>
      <c r="CK17" s="27">
        <f>CJ17*0.599</f>
        <v>553.476</v>
      </c>
      <c r="CL17" s="72" t="s">
        <v>140</v>
      </c>
      <c r="CM17" s="25" t="s">
        <v>151</v>
      </c>
      <c r="CN17" s="23"/>
      <c r="CO17" s="20"/>
      <c r="CP17" s="14"/>
      <c r="CQ17" s="14"/>
    </row>
    <row r="18" spans="1:99" x14ac:dyDescent="0.25">
      <c r="A18" s="359">
        <v>43367</v>
      </c>
      <c r="B18" s="382" t="s">
        <v>12</v>
      </c>
      <c r="C18" s="31" t="s">
        <v>2573</v>
      </c>
      <c r="D18" s="382" t="s">
        <v>54</v>
      </c>
      <c r="E18" s="170" t="s">
        <v>2574</v>
      </c>
      <c r="F18" s="26" t="s">
        <v>2575</v>
      </c>
      <c r="G18" s="26"/>
      <c r="H18" s="26"/>
      <c r="I18" s="26"/>
      <c r="J18" s="382" t="s">
        <v>2576</v>
      </c>
      <c r="K18" s="26" t="s">
        <v>2577</v>
      </c>
      <c r="L18" s="382" t="s">
        <v>108</v>
      </c>
      <c r="M18" s="382">
        <v>25043809</v>
      </c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1" t="s">
        <v>2579</v>
      </c>
      <c r="AO18" s="31"/>
      <c r="AP18" s="31"/>
      <c r="AQ18" s="33"/>
      <c r="AR18" s="31"/>
      <c r="AS18" s="33"/>
      <c r="AT18" s="25" t="s">
        <v>2580</v>
      </c>
      <c r="AU18" s="41" t="s">
        <v>2581</v>
      </c>
      <c r="AV18" s="382" t="s">
        <v>2582</v>
      </c>
      <c r="AW18" s="41"/>
      <c r="AX18" s="382"/>
      <c r="AY18" s="382"/>
      <c r="AZ18" s="382"/>
      <c r="BA18" s="382"/>
      <c r="BB18" s="382"/>
      <c r="BC18" s="382"/>
      <c r="BD18" s="382">
        <v>6247</v>
      </c>
      <c r="BE18" s="31" t="s">
        <v>2583</v>
      </c>
      <c r="BF18" s="382"/>
      <c r="BG18" s="382"/>
      <c r="BH18" s="382"/>
      <c r="BI18" s="382"/>
      <c r="BJ18" s="25">
        <v>46247</v>
      </c>
      <c r="BK18" s="171">
        <v>14.33</v>
      </c>
      <c r="BL18" s="379" t="s">
        <v>2586</v>
      </c>
      <c r="BM18" s="188">
        <v>10038568746167</v>
      </c>
      <c r="BN18" s="385">
        <v>6.89</v>
      </c>
      <c r="BO18" s="385">
        <v>6.89</v>
      </c>
      <c r="BP18" s="385">
        <v>5.79</v>
      </c>
      <c r="BQ18" s="36"/>
      <c r="BR18" s="36"/>
      <c r="BS18" s="36"/>
      <c r="BT18" s="117">
        <v>7.09</v>
      </c>
      <c r="BU18" s="117">
        <v>7.09</v>
      </c>
      <c r="BV18" s="117">
        <v>6.3</v>
      </c>
      <c r="BW18" s="38"/>
      <c r="BX18" s="189">
        <v>0.14000000000000001</v>
      </c>
      <c r="BY18" s="190">
        <v>23.23</v>
      </c>
      <c r="BZ18" s="190">
        <v>15.36</v>
      </c>
      <c r="CA18" s="190">
        <v>6.77</v>
      </c>
      <c r="CB18" s="385">
        <v>0.71534351399999996</v>
      </c>
      <c r="CC18" s="189">
        <v>1.37</v>
      </c>
      <c r="CD18" s="189">
        <v>0.78666700000000001</v>
      </c>
      <c r="CE18" s="189">
        <f>CD18*6</f>
        <v>4.720002</v>
      </c>
      <c r="CF18" s="72" t="s">
        <v>2424</v>
      </c>
      <c r="CG18" s="72">
        <v>6</v>
      </c>
      <c r="CH18" s="72">
        <v>5</v>
      </c>
      <c r="CI18" s="72">
        <v>5</v>
      </c>
      <c r="CJ18" s="27">
        <v>150</v>
      </c>
      <c r="CK18" s="27">
        <f>CJ18*CD18</f>
        <v>118.00005</v>
      </c>
      <c r="CL18" s="72" t="s">
        <v>136</v>
      </c>
      <c r="CM18" s="25" t="s">
        <v>137</v>
      </c>
      <c r="CN18" s="23"/>
      <c r="CO18" s="20"/>
      <c r="CP18" s="14"/>
      <c r="CQ18" s="14"/>
    </row>
    <row r="19" spans="1:99" ht="30" x14ac:dyDescent="0.25">
      <c r="A19" s="359">
        <v>43367</v>
      </c>
      <c r="B19" s="382" t="s">
        <v>12</v>
      </c>
      <c r="C19" s="31" t="s">
        <v>2578</v>
      </c>
      <c r="D19" s="382" t="s">
        <v>54</v>
      </c>
      <c r="E19" s="170" t="s">
        <v>1786</v>
      </c>
      <c r="F19" s="26" t="s">
        <v>2585</v>
      </c>
      <c r="G19" s="26"/>
      <c r="H19" s="26"/>
      <c r="I19" s="26"/>
      <c r="J19" s="382" t="s">
        <v>1973</v>
      </c>
      <c r="K19" s="26">
        <v>85151124</v>
      </c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1"/>
      <c r="AO19" s="31"/>
      <c r="AP19" s="31"/>
      <c r="AQ19" s="33"/>
      <c r="AR19" s="31"/>
      <c r="AS19" s="33"/>
      <c r="AT19" s="25"/>
      <c r="AU19" s="41"/>
      <c r="AV19" s="382"/>
      <c r="AW19" s="41"/>
      <c r="AX19" s="382"/>
      <c r="AY19" s="382"/>
      <c r="AZ19" s="382"/>
      <c r="BA19" s="382"/>
      <c r="BB19" s="382"/>
      <c r="BC19" s="382"/>
      <c r="BD19" s="382"/>
      <c r="BE19" s="31"/>
      <c r="BF19" s="382"/>
      <c r="BG19" s="382"/>
      <c r="BH19" s="382"/>
      <c r="BI19" s="382"/>
      <c r="BJ19" s="25" t="s">
        <v>2584</v>
      </c>
      <c r="BK19" s="171">
        <v>24.23</v>
      </c>
      <c r="BL19" s="379" t="s">
        <v>2587</v>
      </c>
      <c r="BM19" s="188">
        <v>10038568746150</v>
      </c>
      <c r="BN19" s="385">
        <v>9.84</v>
      </c>
      <c r="BO19" s="385">
        <v>9.84</v>
      </c>
      <c r="BP19" s="385">
        <v>0.98</v>
      </c>
      <c r="BQ19" s="36"/>
      <c r="BR19" s="36"/>
      <c r="BS19" s="36"/>
      <c r="BT19" s="117">
        <v>10.23</v>
      </c>
      <c r="BU19" s="117">
        <v>1.18</v>
      </c>
      <c r="BV19" s="117">
        <v>10.23</v>
      </c>
      <c r="BW19" s="38"/>
      <c r="BX19" s="189">
        <v>0.1</v>
      </c>
      <c r="BY19" s="190">
        <v>11.02</v>
      </c>
      <c r="BZ19" s="190">
        <v>11.02</v>
      </c>
      <c r="CA19" s="190">
        <v>4.33</v>
      </c>
      <c r="CB19" s="385">
        <v>3.2861889999999998</v>
      </c>
      <c r="CC19" s="189">
        <v>0.4</v>
      </c>
      <c r="CD19" s="189">
        <v>0.26400230000000002</v>
      </c>
      <c r="CE19" s="189">
        <v>0.79200000000000004</v>
      </c>
      <c r="CF19" s="72" t="s">
        <v>2424</v>
      </c>
      <c r="CG19" s="72">
        <v>3</v>
      </c>
      <c r="CH19" s="72">
        <v>32</v>
      </c>
      <c r="CI19" s="72">
        <v>4</v>
      </c>
      <c r="CJ19" s="27">
        <v>384</v>
      </c>
      <c r="CK19" s="386">
        <f>CJ19*CD19</f>
        <v>101.37688320000001</v>
      </c>
      <c r="CL19" s="72" t="s">
        <v>140</v>
      </c>
      <c r="CM19" s="25" t="s">
        <v>141</v>
      </c>
      <c r="CN19" s="10"/>
      <c r="CO19" s="14"/>
      <c r="CP19" s="14"/>
      <c r="CQ19" s="14"/>
    </row>
    <row r="20" spans="1:99" s="14" customFormat="1" x14ac:dyDescent="0.25">
      <c r="A20" s="359">
        <v>43270</v>
      </c>
      <c r="B20" s="376" t="s">
        <v>12</v>
      </c>
      <c r="C20" s="31" t="s">
        <v>518</v>
      </c>
      <c r="D20" s="376" t="s">
        <v>54</v>
      </c>
      <c r="E20" s="170" t="s">
        <v>2549</v>
      </c>
      <c r="F20" s="26" t="s">
        <v>2550</v>
      </c>
      <c r="G20" s="184"/>
      <c r="H20" s="184"/>
      <c r="I20" s="184"/>
      <c r="J20" s="132" t="s">
        <v>520</v>
      </c>
      <c r="K20" s="26" t="s">
        <v>521</v>
      </c>
      <c r="L20" s="376"/>
      <c r="M20" s="376"/>
      <c r="N20" s="25"/>
      <c r="O20" s="26"/>
      <c r="P20" s="26"/>
      <c r="Q20" s="26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5" t="s">
        <v>522</v>
      </c>
      <c r="AO20" s="33"/>
      <c r="AP20" s="25"/>
      <c r="AQ20" s="33"/>
      <c r="AR20" s="31"/>
      <c r="AS20" s="33"/>
      <c r="AT20" s="25" t="s">
        <v>523</v>
      </c>
      <c r="AU20" s="41" t="s">
        <v>524</v>
      </c>
      <c r="AV20" s="376"/>
      <c r="AW20" s="41"/>
      <c r="AX20" s="376"/>
      <c r="AY20" s="376"/>
      <c r="AZ20" s="376"/>
      <c r="BA20" s="376"/>
      <c r="BB20" s="376"/>
      <c r="BC20" s="376"/>
      <c r="BD20" s="376"/>
      <c r="BE20" s="31"/>
      <c r="BF20" s="376"/>
      <c r="BG20" s="376"/>
      <c r="BH20" s="376"/>
      <c r="BI20" s="376"/>
      <c r="BJ20" s="25">
        <v>57707</v>
      </c>
      <c r="BK20" s="171">
        <v>35.18</v>
      </c>
      <c r="BL20" s="379" t="s">
        <v>2551</v>
      </c>
      <c r="BM20" s="188">
        <v>10038568741575</v>
      </c>
      <c r="BN20" s="38"/>
      <c r="BO20" s="38"/>
      <c r="BP20" s="38"/>
      <c r="BQ20" s="377">
        <v>3.83</v>
      </c>
      <c r="BR20" s="377">
        <v>7</v>
      </c>
      <c r="BS20" s="377"/>
      <c r="BT20" s="117">
        <v>3.875</v>
      </c>
      <c r="BU20" s="117">
        <v>3.875</v>
      </c>
      <c r="BV20" s="117">
        <v>7.25</v>
      </c>
      <c r="BW20" s="378">
        <v>6.2999899999999998E-2</v>
      </c>
      <c r="BX20" s="189">
        <v>0.19</v>
      </c>
      <c r="BY20" s="190">
        <v>16.187000000000001</v>
      </c>
      <c r="BZ20" s="190">
        <v>12.186999999999999</v>
      </c>
      <c r="CA20" s="190">
        <v>7.375</v>
      </c>
      <c r="CB20" s="378">
        <v>0.84194000000000002</v>
      </c>
      <c r="CC20" s="189">
        <v>1.68</v>
      </c>
      <c r="CD20" s="189">
        <v>1.3332999999999999</v>
      </c>
      <c r="CE20" s="189">
        <v>15.96</v>
      </c>
      <c r="CF20" s="72" t="s">
        <v>2466</v>
      </c>
      <c r="CG20" s="72">
        <v>12</v>
      </c>
      <c r="CH20" s="72">
        <v>9</v>
      </c>
      <c r="CI20" s="72">
        <v>5</v>
      </c>
      <c r="CJ20" s="27">
        <v>540</v>
      </c>
      <c r="CK20" s="27">
        <f>540*1.33</f>
        <v>718.2</v>
      </c>
      <c r="CL20" s="72" t="s">
        <v>257</v>
      </c>
      <c r="CM20" s="25" t="s">
        <v>151</v>
      </c>
      <c r="CN20" s="345"/>
      <c r="CO20" s="345"/>
      <c r="CP20" s="238"/>
      <c r="CQ20" s="337"/>
    </row>
    <row r="21" spans="1:99" s="14" customFormat="1" x14ac:dyDescent="0.25">
      <c r="A21" s="359">
        <v>43263</v>
      </c>
      <c r="B21" s="73" t="s">
        <v>12</v>
      </c>
      <c r="C21" s="72" t="s">
        <v>2544</v>
      </c>
      <c r="D21" s="214" t="s">
        <v>54</v>
      </c>
      <c r="E21" s="214" t="s">
        <v>1786</v>
      </c>
      <c r="F21" s="29" t="s">
        <v>2545</v>
      </c>
      <c r="G21" s="29"/>
      <c r="H21" s="29"/>
      <c r="I21" s="29"/>
      <c r="J21" s="224" t="s">
        <v>722</v>
      </c>
      <c r="K21" s="224">
        <v>22474709</v>
      </c>
      <c r="L21" s="16" t="s">
        <v>1973</v>
      </c>
      <c r="M21" s="16">
        <v>22094967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 t="s">
        <v>2546</v>
      </c>
      <c r="AO21" s="16"/>
      <c r="AP21" s="16"/>
      <c r="AQ21" s="16"/>
      <c r="AR21" s="31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71">
        <v>50.19</v>
      </c>
      <c r="BL21" s="360" t="s">
        <v>2547</v>
      </c>
      <c r="BM21" s="361">
        <v>10038568745658</v>
      </c>
      <c r="BN21" s="276"/>
      <c r="BO21" s="276"/>
      <c r="BP21" s="276"/>
      <c r="BQ21" s="362">
        <v>4.28</v>
      </c>
      <c r="BR21" s="362">
        <v>9</v>
      </c>
      <c r="BS21" s="363"/>
      <c r="BT21" s="375">
        <v>4.5599999999999996</v>
      </c>
      <c r="BU21" s="375">
        <v>4.5599999999999996</v>
      </c>
      <c r="BV21" s="375">
        <v>9.5</v>
      </c>
      <c r="BW21" s="375">
        <v>0.12</v>
      </c>
      <c r="BX21" s="375">
        <v>0.18</v>
      </c>
      <c r="BY21" s="364">
        <v>14.49</v>
      </c>
      <c r="BZ21" s="24">
        <v>10.11</v>
      </c>
      <c r="CA21" s="364">
        <v>10.35</v>
      </c>
      <c r="CB21" s="364">
        <v>0.87743000000000004</v>
      </c>
      <c r="CC21" s="24">
        <v>0.72</v>
      </c>
      <c r="CD21" s="24">
        <v>2.9</v>
      </c>
      <c r="CE21" s="364">
        <v>17.399999999999999</v>
      </c>
      <c r="CF21" s="24" t="s">
        <v>2466</v>
      </c>
      <c r="CG21" s="102" t="s">
        <v>2548</v>
      </c>
      <c r="CH21" s="224">
        <v>11</v>
      </c>
      <c r="CI21" s="224">
        <v>4</v>
      </c>
      <c r="CJ21" s="24">
        <v>264</v>
      </c>
      <c r="CK21" s="102">
        <v>765.6</v>
      </c>
      <c r="CL21" s="24" t="s">
        <v>257</v>
      </c>
      <c r="CM21" s="79" t="s">
        <v>151</v>
      </c>
      <c r="CN21" s="345"/>
      <c r="CO21" s="345"/>
      <c r="CP21" s="238"/>
      <c r="CQ21" s="337"/>
    </row>
    <row r="22" spans="1:99" s="14" customFormat="1" x14ac:dyDescent="0.25">
      <c r="A22" s="359">
        <v>43250</v>
      </c>
      <c r="B22" s="73" t="s">
        <v>12</v>
      </c>
      <c r="C22" s="72" t="s">
        <v>2528</v>
      </c>
      <c r="D22" s="214" t="s">
        <v>54</v>
      </c>
      <c r="E22" s="214" t="s">
        <v>1786</v>
      </c>
      <c r="F22" s="29" t="s">
        <v>2529</v>
      </c>
      <c r="G22" s="29"/>
      <c r="H22" s="29"/>
      <c r="I22" s="29"/>
      <c r="J22" s="224" t="s">
        <v>2530</v>
      </c>
      <c r="K22" s="102" t="s">
        <v>2531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 t="s">
        <v>2532</v>
      </c>
      <c r="AO22" s="16"/>
      <c r="AP22" s="16"/>
      <c r="AQ22" s="16"/>
      <c r="AR22" s="31" t="s">
        <v>2533</v>
      </c>
      <c r="AS22" s="16"/>
      <c r="AT22" s="16" t="s">
        <v>2534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71">
        <v>9.2799999999999994</v>
      </c>
      <c r="BL22" s="360" t="s">
        <v>2539</v>
      </c>
      <c r="BM22" s="361">
        <v>10038568745580</v>
      </c>
      <c r="BN22" s="276">
        <v>6.73</v>
      </c>
      <c r="BO22" s="276">
        <v>0.24</v>
      </c>
      <c r="BP22" s="276">
        <v>9.5299999999999994</v>
      </c>
      <c r="BQ22" s="362"/>
      <c r="BR22" s="362"/>
      <c r="BS22" s="363"/>
      <c r="BT22" s="375">
        <v>6.89</v>
      </c>
      <c r="BU22" s="375">
        <v>0.47</v>
      </c>
      <c r="BV22" s="375">
        <v>9.64</v>
      </c>
      <c r="BW22" s="375">
        <v>1.8065000000000001E-2</v>
      </c>
      <c r="BX22" s="375">
        <v>0.03</v>
      </c>
      <c r="BY22" s="364">
        <v>7.28</v>
      </c>
      <c r="BZ22" s="24">
        <v>1.57</v>
      </c>
      <c r="CA22" s="364">
        <v>10.029999999999999</v>
      </c>
      <c r="CB22" s="364">
        <v>6.6339999999999996E-2</v>
      </c>
      <c r="CC22" s="24">
        <v>9.1999999999999998E-2</v>
      </c>
      <c r="CD22" s="24">
        <v>0.217997</v>
      </c>
      <c r="CE22" s="364">
        <v>0.65400000000000003</v>
      </c>
      <c r="CF22" s="24" t="s">
        <v>135</v>
      </c>
      <c r="CG22" s="102" t="s">
        <v>2540</v>
      </c>
      <c r="CH22" s="224">
        <v>20</v>
      </c>
      <c r="CI22" s="224">
        <v>27</v>
      </c>
      <c r="CJ22" s="24">
        <v>1620</v>
      </c>
      <c r="CK22" s="102">
        <v>353.16</v>
      </c>
      <c r="CL22" s="24" t="s">
        <v>140</v>
      </c>
      <c r="CM22" s="79" t="s">
        <v>141</v>
      </c>
      <c r="CN22" s="345"/>
      <c r="CO22" s="345"/>
      <c r="CP22" s="238"/>
      <c r="CQ22" s="337"/>
    </row>
    <row r="23" spans="1:99" s="14" customFormat="1" ht="30" x14ac:dyDescent="0.25">
      <c r="A23" s="359">
        <v>43250</v>
      </c>
      <c r="B23" s="73" t="s">
        <v>12</v>
      </c>
      <c r="C23" s="214" t="s">
        <v>2543</v>
      </c>
      <c r="D23" s="214" t="s">
        <v>54</v>
      </c>
      <c r="E23" s="214" t="s">
        <v>1786</v>
      </c>
      <c r="F23" s="232" t="s">
        <v>2542</v>
      </c>
      <c r="G23" s="232"/>
      <c r="H23" s="232"/>
      <c r="I23" s="232"/>
      <c r="J23" s="223" t="s">
        <v>2530</v>
      </c>
      <c r="K23" s="373" t="s">
        <v>2535</v>
      </c>
      <c r="L23" s="372"/>
      <c r="M23" s="372"/>
      <c r="N23" s="37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356" t="s">
        <v>2536</v>
      </c>
      <c r="AO23" s="33"/>
      <c r="AP23" s="25"/>
      <c r="AQ23" s="33"/>
      <c r="AR23" s="31" t="s">
        <v>2537</v>
      </c>
      <c r="AS23" s="33"/>
      <c r="AT23" s="25" t="s">
        <v>2538</v>
      </c>
      <c r="AU23" s="372"/>
      <c r="AV23" s="372"/>
      <c r="AW23" s="41"/>
      <c r="AX23" s="372"/>
      <c r="AY23" s="372"/>
      <c r="AZ23" s="372"/>
      <c r="BA23" s="372"/>
      <c r="BB23" s="372"/>
      <c r="BC23" s="372"/>
      <c r="BD23" s="372"/>
      <c r="BE23" s="31"/>
      <c r="BF23" s="372"/>
      <c r="BG23" s="372"/>
      <c r="BH23" s="372"/>
      <c r="BI23" s="372"/>
      <c r="BJ23" s="372"/>
      <c r="BK23" s="171">
        <v>8.98</v>
      </c>
      <c r="BL23" s="152" t="s">
        <v>2541</v>
      </c>
      <c r="BM23" s="365">
        <v>10038568745597</v>
      </c>
      <c r="BN23" s="276">
        <v>5.2</v>
      </c>
      <c r="BO23" s="276">
        <v>0.24</v>
      </c>
      <c r="BP23" s="276">
        <v>9.33</v>
      </c>
      <c r="BQ23" s="165"/>
      <c r="BR23" s="165"/>
      <c r="BS23" s="363"/>
      <c r="BT23" s="366">
        <v>5.31</v>
      </c>
      <c r="BU23" s="366">
        <v>0.47</v>
      </c>
      <c r="BV23" s="366">
        <v>9.64</v>
      </c>
      <c r="BW23" s="366">
        <v>1.39227E-2</v>
      </c>
      <c r="BX23" s="366">
        <v>0.05</v>
      </c>
      <c r="BY23" s="157">
        <v>5.7</v>
      </c>
      <c r="BZ23" s="157">
        <v>1.57</v>
      </c>
      <c r="CA23" s="157">
        <v>10.029999999999999</v>
      </c>
      <c r="CB23" s="157">
        <v>5.1943499999999997E-2</v>
      </c>
      <c r="CC23" s="158">
        <v>8.3000000000000004E-2</v>
      </c>
      <c r="CD23" s="364">
        <v>0.26400000000000001</v>
      </c>
      <c r="CE23" s="364">
        <v>0.78</v>
      </c>
      <c r="CF23" s="24" t="s">
        <v>135</v>
      </c>
      <c r="CG23" s="24" t="s">
        <v>2540</v>
      </c>
      <c r="CH23" s="24">
        <v>28</v>
      </c>
      <c r="CI23" s="24">
        <v>27</v>
      </c>
      <c r="CJ23" s="24">
        <v>2268</v>
      </c>
      <c r="CK23" s="102">
        <v>589.67999999999995</v>
      </c>
      <c r="CL23" s="24" t="s">
        <v>140</v>
      </c>
      <c r="CM23" s="79" t="s">
        <v>141</v>
      </c>
      <c r="CN23" s="345"/>
      <c r="CO23" s="345"/>
      <c r="CP23" s="238"/>
      <c r="CQ23" s="337"/>
    </row>
    <row r="24" spans="1:99" s="14" customFormat="1" ht="30" x14ac:dyDescent="0.25">
      <c r="A24" s="359">
        <v>43234</v>
      </c>
      <c r="B24" s="73" t="s">
        <v>12</v>
      </c>
      <c r="C24" s="72" t="s">
        <v>2512</v>
      </c>
      <c r="D24" s="214" t="s">
        <v>54</v>
      </c>
      <c r="E24" s="214" t="s">
        <v>2513</v>
      </c>
      <c r="F24" s="29" t="s">
        <v>2514</v>
      </c>
      <c r="G24" s="11"/>
      <c r="H24" s="11"/>
      <c r="I24" s="11"/>
      <c r="J24" s="1" t="s">
        <v>895</v>
      </c>
      <c r="K24" s="102">
        <v>5365988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 t="s">
        <v>2515</v>
      </c>
      <c r="AO24" s="16"/>
      <c r="AP24" s="16"/>
      <c r="AQ24" s="16"/>
      <c r="AR24" s="16" t="s">
        <v>2516</v>
      </c>
      <c r="AS24" s="16"/>
      <c r="AT24" s="16" t="s">
        <v>2517</v>
      </c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71">
        <v>69.94</v>
      </c>
      <c r="BL24" s="360" t="s">
        <v>2524</v>
      </c>
      <c r="BM24" s="361">
        <v>10038568745962</v>
      </c>
      <c r="BN24" s="276"/>
      <c r="BO24" s="276"/>
      <c r="BP24" s="276"/>
      <c r="BQ24" s="362">
        <v>4.6500000000000004</v>
      </c>
      <c r="BR24" s="362">
        <v>8.9499999999999993</v>
      </c>
      <c r="BS24" s="363"/>
      <c r="BT24" s="516"/>
      <c r="BU24" s="517"/>
      <c r="BV24" s="517"/>
      <c r="BW24" s="517"/>
      <c r="BX24" s="518"/>
      <c r="BY24" s="364">
        <v>14.86</v>
      </c>
      <c r="BZ24" s="24">
        <v>9.99</v>
      </c>
      <c r="CA24" s="364">
        <v>10.48</v>
      </c>
      <c r="CB24" s="364">
        <v>1.1107039000000001</v>
      </c>
      <c r="CC24" s="24">
        <v>0.87</v>
      </c>
      <c r="CD24" s="24">
        <v>4.2450000000000001</v>
      </c>
      <c r="CE24" s="364">
        <v>25.47</v>
      </c>
      <c r="CF24" s="24" t="s">
        <v>2466</v>
      </c>
      <c r="CG24" s="102" t="s">
        <v>2525</v>
      </c>
      <c r="CH24" s="224">
        <v>12</v>
      </c>
      <c r="CI24" s="224">
        <v>4</v>
      </c>
      <c r="CJ24" s="24">
        <v>288</v>
      </c>
      <c r="CK24" s="102">
        <v>1222.56</v>
      </c>
      <c r="CL24" s="24" t="s">
        <v>257</v>
      </c>
      <c r="CM24" s="79" t="s">
        <v>151</v>
      </c>
      <c r="CN24" s="345"/>
      <c r="CO24" s="345"/>
      <c r="CP24" s="238"/>
      <c r="CQ24" s="337"/>
    </row>
    <row r="25" spans="1:99" s="14" customFormat="1" x14ac:dyDescent="0.25">
      <c r="A25" s="359">
        <v>43234</v>
      </c>
      <c r="B25" s="73" t="s">
        <v>12</v>
      </c>
      <c r="C25" s="214" t="s">
        <v>2518</v>
      </c>
      <c r="D25" s="214" t="s">
        <v>54</v>
      </c>
      <c r="E25" s="214" t="s">
        <v>1786</v>
      </c>
      <c r="F25" s="176" t="s">
        <v>2519</v>
      </c>
      <c r="G25" s="176"/>
      <c r="H25" s="176"/>
      <c r="I25" s="176"/>
      <c r="J25" s="41" t="s">
        <v>2520</v>
      </c>
      <c r="K25" s="342" t="s">
        <v>2521</v>
      </c>
      <c r="L25" s="367"/>
      <c r="M25" s="367"/>
      <c r="N25" s="367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356" t="s">
        <v>2522</v>
      </c>
      <c r="AO25" s="33"/>
      <c r="AP25" s="25"/>
      <c r="AQ25" s="33"/>
      <c r="AR25" s="31"/>
      <c r="AS25" s="33"/>
      <c r="AT25" s="25" t="s">
        <v>2523</v>
      </c>
      <c r="AU25" s="367"/>
      <c r="AV25" s="367"/>
      <c r="AW25" s="41"/>
      <c r="AX25" s="367"/>
      <c r="AY25" s="367"/>
      <c r="AZ25" s="367"/>
      <c r="BA25" s="367"/>
      <c r="BB25" s="367"/>
      <c r="BC25" s="367"/>
      <c r="BD25" s="367"/>
      <c r="BE25" s="31"/>
      <c r="BF25" s="367"/>
      <c r="BG25" s="367"/>
      <c r="BH25" s="367"/>
      <c r="BI25" s="367"/>
      <c r="BJ25" s="367">
        <v>24479</v>
      </c>
      <c r="BK25" s="171">
        <v>19.670000000000002</v>
      </c>
      <c r="BL25" s="152" t="s">
        <v>2526</v>
      </c>
      <c r="BM25" s="365">
        <v>10038568746136</v>
      </c>
      <c r="BN25" s="276">
        <v>7.87</v>
      </c>
      <c r="BO25" s="276">
        <v>1.1599999999999999</v>
      </c>
      <c r="BP25" s="276">
        <v>9.0500000000000007</v>
      </c>
      <c r="BQ25" s="165"/>
      <c r="BR25" s="165"/>
      <c r="BS25" s="363"/>
      <c r="BT25" s="366">
        <v>8.93</v>
      </c>
      <c r="BU25" s="366">
        <v>1.31</v>
      </c>
      <c r="BV25" s="366">
        <v>9.75</v>
      </c>
      <c r="BW25" s="366"/>
      <c r="BX25" s="366">
        <v>0.12</v>
      </c>
      <c r="BY25" s="157">
        <v>10.49</v>
      </c>
      <c r="BZ25" s="157">
        <v>9.99</v>
      </c>
      <c r="CA25" s="157">
        <v>4.7300000000000004</v>
      </c>
      <c r="CB25" s="157">
        <v>3.4861426</v>
      </c>
      <c r="CC25" s="158">
        <v>0.34</v>
      </c>
      <c r="CD25" s="364">
        <v>0.36</v>
      </c>
      <c r="CE25" s="364">
        <v>1.0900000000000001</v>
      </c>
      <c r="CF25" s="24" t="s">
        <v>2466</v>
      </c>
      <c r="CG25" s="24" t="s">
        <v>2527</v>
      </c>
      <c r="CH25" s="24">
        <v>16</v>
      </c>
      <c r="CI25" s="24">
        <v>9</v>
      </c>
      <c r="CJ25" s="24">
        <v>432</v>
      </c>
      <c r="CK25" s="102">
        <v>470.88</v>
      </c>
      <c r="CL25" s="24" t="s">
        <v>257</v>
      </c>
      <c r="CM25" s="154" t="s">
        <v>141</v>
      </c>
      <c r="CN25" s="345"/>
      <c r="CO25" s="345"/>
      <c r="CP25" s="238"/>
      <c r="CQ25" s="337"/>
    </row>
    <row r="26" spans="1:99" s="14" customFormat="1" ht="45" x14ac:dyDescent="0.25">
      <c r="A26" s="359">
        <v>43144</v>
      </c>
      <c r="B26" s="73" t="s">
        <v>12</v>
      </c>
      <c r="C26" s="72" t="s">
        <v>2500</v>
      </c>
      <c r="D26" s="214" t="s">
        <v>54</v>
      </c>
      <c r="E26" s="214" t="s">
        <v>2501</v>
      </c>
      <c r="F26" s="29" t="s">
        <v>2502</v>
      </c>
      <c r="G26" s="11"/>
      <c r="H26" s="11"/>
      <c r="I26" s="11"/>
      <c r="J26" s="1" t="s">
        <v>1973</v>
      </c>
      <c r="K26" s="102" t="s">
        <v>2503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 t="s">
        <v>2504</v>
      </c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71">
        <v>81.88</v>
      </c>
      <c r="BL26" s="360" t="s">
        <v>2509</v>
      </c>
      <c r="BM26" s="361">
        <v>10038568745405</v>
      </c>
      <c r="BN26" s="276"/>
      <c r="BO26" s="276"/>
      <c r="BP26" s="276"/>
      <c r="BQ26" s="362">
        <v>10.82</v>
      </c>
      <c r="BR26" s="362">
        <v>23.66</v>
      </c>
      <c r="BS26" s="363"/>
      <c r="BT26" s="516" t="s">
        <v>917</v>
      </c>
      <c r="BU26" s="517"/>
      <c r="BV26" s="517"/>
      <c r="BW26" s="517"/>
      <c r="BX26" s="518"/>
      <c r="BY26" s="24">
        <v>24.84</v>
      </c>
      <c r="BZ26" s="24">
        <v>11.59</v>
      </c>
      <c r="CA26" s="24">
        <v>11.93</v>
      </c>
      <c r="CB26" s="364">
        <v>1.99</v>
      </c>
      <c r="CC26" s="24">
        <v>2.2799999999999998</v>
      </c>
      <c r="CD26" s="24">
        <v>6.27</v>
      </c>
      <c r="CE26" s="364">
        <f>CC26+CD26</f>
        <v>8.5499999999999989</v>
      </c>
      <c r="CF26" s="24" t="s">
        <v>135</v>
      </c>
      <c r="CG26" s="102">
        <v>1</v>
      </c>
      <c r="CH26" s="224">
        <v>12</v>
      </c>
      <c r="CI26" s="224">
        <v>1</v>
      </c>
      <c r="CJ26" s="24">
        <v>12</v>
      </c>
      <c r="CK26" s="102">
        <f>(CE26*CJ26)+50</f>
        <v>152.6</v>
      </c>
      <c r="CL26" s="24" t="s">
        <v>257</v>
      </c>
      <c r="CM26" s="79" t="s">
        <v>137</v>
      </c>
      <c r="CN26" s="345"/>
      <c r="CO26" s="345"/>
    </row>
    <row r="27" spans="1:99" s="14" customFormat="1" ht="30" x14ac:dyDescent="0.25">
      <c r="A27" s="359">
        <v>43144</v>
      </c>
      <c r="B27" s="73" t="s">
        <v>12</v>
      </c>
      <c r="C27" s="214" t="s">
        <v>2505</v>
      </c>
      <c r="D27" s="214" t="s">
        <v>54</v>
      </c>
      <c r="E27" s="214" t="s">
        <v>2494</v>
      </c>
      <c r="F27" s="176" t="s">
        <v>2506</v>
      </c>
      <c r="G27" s="176"/>
      <c r="H27" s="176"/>
      <c r="I27" s="176"/>
      <c r="J27" s="41" t="s">
        <v>334</v>
      </c>
      <c r="K27" s="342" t="s">
        <v>2507</v>
      </c>
      <c r="L27" s="358"/>
      <c r="M27" s="358"/>
      <c r="N27" s="358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356"/>
      <c r="AO27" s="33"/>
      <c r="AP27" s="25"/>
      <c r="AQ27" s="33"/>
      <c r="AR27" s="31"/>
      <c r="AS27" s="33"/>
      <c r="AT27" s="25" t="s">
        <v>2508</v>
      </c>
      <c r="AU27" s="358"/>
      <c r="AV27" s="358"/>
      <c r="AW27" s="41"/>
      <c r="AX27" s="358"/>
      <c r="AY27" s="358"/>
      <c r="AZ27" s="358"/>
      <c r="BA27" s="358"/>
      <c r="BB27" s="358"/>
      <c r="BC27" s="358"/>
      <c r="BD27" s="358"/>
      <c r="BE27" s="31"/>
      <c r="BF27" s="358"/>
      <c r="BG27" s="358"/>
      <c r="BH27" s="358"/>
      <c r="BI27" s="358"/>
      <c r="BJ27" s="358"/>
      <c r="BK27" s="171">
        <v>58</v>
      </c>
      <c r="BL27" s="152" t="s">
        <v>2510</v>
      </c>
      <c r="BM27" s="365">
        <v>10038568745412</v>
      </c>
      <c r="BN27" s="276"/>
      <c r="BO27" s="276"/>
      <c r="BP27" s="276"/>
      <c r="BQ27" s="165">
        <v>4.2699999999999996</v>
      </c>
      <c r="BR27" s="165">
        <v>5.29</v>
      </c>
      <c r="BS27" s="363"/>
      <c r="BT27" s="366">
        <v>4.62</v>
      </c>
      <c r="BU27" s="366">
        <v>4.62</v>
      </c>
      <c r="BV27" s="366">
        <v>6</v>
      </c>
      <c r="BW27" s="366">
        <v>7.4999999999999997E-2</v>
      </c>
      <c r="BX27" s="366">
        <v>0.12</v>
      </c>
      <c r="BY27" s="157">
        <v>14.74</v>
      </c>
      <c r="BZ27" s="157">
        <v>9.99</v>
      </c>
      <c r="CA27" s="157">
        <v>6.6</v>
      </c>
      <c r="CB27" s="157">
        <v>0.56242000000000003</v>
      </c>
      <c r="CC27" s="158">
        <v>0.68</v>
      </c>
      <c r="CD27" s="364">
        <v>0.75</v>
      </c>
      <c r="CE27" s="364">
        <f>CC27+CD27+BX27</f>
        <v>1.5500000000000003</v>
      </c>
      <c r="CF27" s="24" t="s">
        <v>135</v>
      </c>
      <c r="CG27" s="24">
        <v>6</v>
      </c>
      <c r="CH27" s="24">
        <v>12</v>
      </c>
      <c r="CI27" s="24">
        <v>6</v>
      </c>
      <c r="CJ27" s="24">
        <f>(CH27*6)*CI27</f>
        <v>432</v>
      </c>
      <c r="CK27" s="102">
        <f>(CJ27*CE27)+50</f>
        <v>719.60000000000014</v>
      </c>
      <c r="CL27" s="24" t="s">
        <v>2239</v>
      </c>
      <c r="CM27" s="154" t="s">
        <v>137</v>
      </c>
      <c r="CN27" s="345"/>
      <c r="CO27" s="345"/>
    </row>
    <row r="28" spans="1:99" s="14" customFormat="1" ht="30" x14ac:dyDescent="0.25">
      <c r="A28" s="315">
        <v>43084</v>
      </c>
      <c r="B28" s="214" t="s">
        <v>12</v>
      </c>
      <c r="C28" s="72" t="s">
        <v>2488</v>
      </c>
      <c r="D28" s="214" t="s">
        <v>54</v>
      </c>
      <c r="E28" s="214" t="s">
        <v>2492</v>
      </c>
      <c r="F28" s="29" t="s">
        <v>2489</v>
      </c>
      <c r="G28" s="11"/>
      <c r="H28" s="11"/>
      <c r="I28" s="11"/>
      <c r="J28" s="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71">
        <v>310.25</v>
      </c>
      <c r="BL28" s="335" t="s">
        <v>2490</v>
      </c>
      <c r="BM28" s="344">
        <v>10038568745436</v>
      </c>
      <c r="BN28" s="36"/>
      <c r="BO28" s="36"/>
      <c r="BP28" s="36"/>
      <c r="BQ28" s="266">
        <v>17.61</v>
      </c>
      <c r="BR28" s="266">
        <v>23.5</v>
      </c>
      <c r="BS28" s="323"/>
      <c r="BT28" s="498" t="s">
        <v>2491</v>
      </c>
      <c r="BU28" s="499"/>
      <c r="BV28" s="499"/>
      <c r="BW28" s="499"/>
      <c r="BX28" s="500"/>
      <c r="BY28" s="74">
        <v>19</v>
      </c>
      <c r="BZ28" s="74">
        <v>18.62</v>
      </c>
      <c r="CA28" s="74">
        <v>24.5</v>
      </c>
      <c r="CB28" s="319">
        <v>0.1993</v>
      </c>
      <c r="CC28" s="74">
        <v>1.5</v>
      </c>
      <c r="CD28" s="74">
        <v>26</v>
      </c>
      <c r="CE28" s="319">
        <v>27.5</v>
      </c>
      <c r="CF28" s="74" t="s">
        <v>135</v>
      </c>
      <c r="CG28" s="16">
        <v>1</v>
      </c>
      <c r="CH28" s="223">
        <v>4</v>
      </c>
      <c r="CI28" s="223">
        <v>2</v>
      </c>
      <c r="CJ28" s="74">
        <v>8</v>
      </c>
      <c r="CK28" s="16">
        <v>270</v>
      </c>
      <c r="CL28" s="74" t="s">
        <v>257</v>
      </c>
      <c r="CM28" s="79" t="s">
        <v>151</v>
      </c>
      <c r="CN28" s="345"/>
      <c r="CO28" s="345"/>
    </row>
    <row r="29" spans="1:99" s="14" customFormat="1" x14ac:dyDescent="0.25">
      <c r="A29" s="315">
        <v>43084</v>
      </c>
      <c r="B29" s="214" t="s">
        <v>12</v>
      </c>
      <c r="C29" s="214" t="s">
        <v>2493</v>
      </c>
      <c r="D29" s="214" t="s">
        <v>54</v>
      </c>
      <c r="E29" s="214" t="s">
        <v>2494</v>
      </c>
      <c r="F29" s="176" t="s">
        <v>2495</v>
      </c>
      <c r="G29" s="176"/>
      <c r="H29" s="176"/>
      <c r="I29" s="176"/>
      <c r="J29" s="41" t="s">
        <v>351</v>
      </c>
      <c r="K29" s="342">
        <v>4679981</v>
      </c>
      <c r="L29" s="347"/>
      <c r="M29" s="347"/>
      <c r="N29" s="347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356" t="s">
        <v>2496</v>
      </c>
      <c r="AO29" s="33"/>
      <c r="AP29" s="25"/>
      <c r="AQ29" s="33"/>
      <c r="AR29" s="31" t="s">
        <v>2497</v>
      </c>
      <c r="AS29" s="33"/>
      <c r="AT29" s="25" t="s">
        <v>2498</v>
      </c>
      <c r="AU29" s="347"/>
      <c r="AV29" s="347"/>
      <c r="AW29" s="41"/>
      <c r="AX29" s="347"/>
      <c r="AY29" s="347"/>
      <c r="AZ29" s="347"/>
      <c r="BA29" s="347"/>
      <c r="BB29" s="347"/>
      <c r="BC29" s="347"/>
      <c r="BD29" s="347"/>
      <c r="BE29" s="31"/>
      <c r="BF29" s="347"/>
      <c r="BG29" s="347"/>
      <c r="BH29" s="347"/>
      <c r="BI29" s="347"/>
      <c r="BJ29" s="347">
        <v>33740</v>
      </c>
      <c r="BK29" s="171">
        <v>36.880000000000003</v>
      </c>
      <c r="BL29" s="164" t="s">
        <v>2499</v>
      </c>
      <c r="BM29" s="338">
        <v>10038568744613</v>
      </c>
      <c r="BN29" s="36"/>
      <c r="BO29" s="36"/>
      <c r="BP29" s="36"/>
      <c r="BQ29" s="346">
        <v>3.72</v>
      </c>
      <c r="BR29" s="346">
        <v>8.0299999999999994</v>
      </c>
      <c r="BS29" s="323"/>
      <c r="BT29" s="357">
        <v>4.13</v>
      </c>
      <c r="BU29" s="357">
        <v>4.13</v>
      </c>
      <c r="BV29" s="357">
        <v>8.66</v>
      </c>
      <c r="BW29" s="357">
        <v>0.1169</v>
      </c>
      <c r="BX29" s="357">
        <v>0.12</v>
      </c>
      <c r="BY29" s="117">
        <v>12.91</v>
      </c>
      <c r="BZ29" s="117">
        <v>9.17</v>
      </c>
      <c r="CA29" s="117">
        <v>9.0500000000000007</v>
      </c>
      <c r="CB29" s="117">
        <f>(BY29*BZ29*CA29)/1728</f>
        <v>0.62001246238425922</v>
      </c>
      <c r="CC29" s="318">
        <v>1.1200000000000001</v>
      </c>
      <c r="CD29" s="319">
        <v>0.5</v>
      </c>
      <c r="CE29" s="319">
        <f>(BX29*6)+CC29+CD29</f>
        <v>2.34</v>
      </c>
      <c r="CF29" s="74" t="s">
        <v>2466</v>
      </c>
      <c r="CG29" s="74">
        <v>6</v>
      </c>
      <c r="CH29" s="74">
        <v>12</v>
      </c>
      <c r="CI29" s="74">
        <v>5</v>
      </c>
      <c r="CJ29" s="74">
        <v>60</v>
      </c>
      <c r="CK29" s="16">
        <f>(60*2.34)+50</f>
        <v>190.39999999999998</v>
      </c>
      <c r="CL29" s="74" t="s">
        <v>140</v>
      </c>
      <c r="CM29" s="79" t="s">
        <v>137</v>
      </c>
      <c r="CN29" s="345"/>
      <c r="CO29" s="345"/>
    </row>
    <row r="30" spans="1:99" s="1" customFormat="1" ht="30" x14ac:dyDescent="0.25">
      <c r="A30" s="315">
        <v>43035</v>
      </c>
      <c r="B30" s="214" t="s">
        <v>12</v>
      </c>
      <c r="C30" s="75" t="s">
        <v>2475</v>
      </c>
      <c r="D30" s="214" t="s">
        <v>54</v>
      </c>
      <c r="E30" s="214" t="s">
        <v>2440</v>
      </c>
      <c r="F30" s="29" t="s">
        <v>2476</v>
      </c>
      <c r="G30" s="11"/>
      <c r="H30" s="11"/>
      <c r="I30" s="11"/>
      <c r="J30" s="1" t="s">
        <v>2477</v>
      </c>
      <c r="K30" s="348" t="s">
        <v>2478</v>
      </c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 t="s">
        <v>2479</v>
      </c>
      <c r="AO30" s="348"/>
      <c r="AP30" s="348"/>
      <c r="AQ30" s="348"/>
      <c r="AR30" s="348" t="s">
        <v>2480</v>
      </c>
      <c r="AS30" s="348"/>
      <c r="AT30" s="348" t="s">
        <v>2481</v>
      </c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9">
        <v>38.729999999999997</v>
      </c>
      <c r="BL30" s="350" t="s">
        <v>2486</v>
      </c>
      <c r="BM30" s="351">
        <v>10038568745337</v>
      </c>
      <c r="BN30" s="352"/>
      <c r="BO30" s="352"/>
      <c r="BP30" s="352"/>
      <c r="BQ30" s="353">
        <v>7.29</v>
      </c>
      <c r="BR30" s="353">
        <v>13.94</v>
      </c>
      <c r="BS30" s="354"/>
      <c r="BT30" s="510" t="s">
        <v>917</v>
      </c>
      <c r="BU30" s="511"/>
      <c r="BV30" s="511"/>
      <c r="BW30" s="511"/>
      <c r="BX30" s="512"/>
      <c r="BY30" s="355">
        <v>8.11</v>
      </c>
      <c r="BZ30" s="74">
        <v>7.77</v>
      </c>
      <c r="CA30" s="74">
        <v>15.34</v>
      </c>
      <c r="CB30" s="319">
        <v>0.55940000000000001</v>
      </c>
      <c r="CC30" s="74">
        <v>0.85</v>
      </c>
      <c r="CD30" s="74">
        <v>2.63</v>
      </c>
      <c r="CE30" s="319">
        <f>CC30+CD30</f>
        <v>3.48</v>
      </c>
      <c r="CF30" s="74" t="s">
        <v>2466</v>
      </c>
      <c r="CG30" s="16">
        <v>1</v>
      </c>
      <c r="CH30" s="223">
        <v>30</v>
      </c>
      <c r="CI30" s="223">
        <v>2</v>
      </c>
      <c r="CJ30" s="74">
        <v>60</v>
      </c>
      <c r="CK30" s="16">
        <v>258.8</v>
      </c>
      <c r="CL30" s="74" t="s">
        <v>257</v>
      </c>
      <c r="CM30" s="79" t="s">
        <v>137</v>
      </c>
      <c r="CN30" s="71"/>
      <c r="CO30" s="71"/>
    </row>
    <row r="31" spans="1:99" s="14" customFormat="1" ht="30" x14ac:dyDescent="0.25">
      <c r="A31" s="315">
        <v>43035</v>
      </c>
      <c r="B31" s="214" t="s">
        <v>12</v>
      </c>
      <c r="C31" s="214" t="s">
        <v>2482</v>
      </c>
      <c r="D31" s="214" t="s">
        <v>54</v>
      </c>
      <c r="E31" s="214" t="s">
        <v>2445</v>
      </c>
      <c r="F31" s="176" t="s">
        <v>2483</v>
      </c>
      <c r="G31" s="176"/>
      <c r="H31" s="176"/>
      <c r="I31" s="176"/>
      <c r="J31" s="41" t="s">
        <v>351</v>
      </c>
      <c r="K31" s="342" t="s">
        <v>2484</v>
      </c>
      <c r="L31" s="340"/>
      <c r="M31" s="340"/>
      <c r="N31" s="340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343" t="s">
        <v>2485</v>
      </c>
      <c r="AO31" s="33"/>
      <c r="AP31" s="25"/>
      <c r="AQ31" s="33"/>
      <c r="AR31" s="31"/>
      <c r="AS31" s="33"/>
      <c r="AT31" s="25"/>
      <c r="AU31" s="340"/>
      <c r="AV31" s="340"/>
      <c r="AW31" s="41"/>
      <c r="AX31" s="340"/>
      <c r="AY31" s="340"/>
      <c r="AZ31" s="340"/>
      <c r="BA31" s="340"/>
      <c r="BB31" s="340"/>
      <c r="BC31" s="340"/>
      <c r="BD31" s="340"/>
      <c r="BE31" s="31"/>
      <c r="BF31" s="340"/>
      <c r="BG31" s="340"/>
      <c r="BH31" s="340"/>
      <c r="BI31" s="340"/>
      <c r="BJ31" s="340"/>
      <c r="BK31" s="171">
        <v>76.260000000000005</v>
      </c>
      <c r="BL31" s="164" t="s">
        <v>2487</v>
      </c>
      <c r="BM31" s="338">
        <v>10038568745344</v>
      </c>
      <c r="BN31" s="36"/>
      <c r="BO31" s="36"/>
      <c r="BP31" s="36"/>
      <c r="BQ31" s="341">
        <v>8</v>
      </c>
      <c r="BR31" s="341">
        <v>11.64</v>
      </c>
      <c r="BS31" s="323"/>
      <c r="BT31" s="513" t="s">
        <v>917</v>
      </c>
      <c r="BU31" s="514"/>
      <c r="BV31" s="514"/>
      <c r="BW31" s="514"/>
      <c r="BX31" s="515"/>
      <c r="BY31" s="117">
        <v>8.93</v>
      </c>
      <c r="BZ31" s="117">
        <v>8.59</v>
      </c>
      <c r="CA31" s="117">
        <v>12.59</v>
      </c>
      <c r="CB31" s="117">
        <v>0.55000000000000004</v>
      </c>
      <c r="CC31" s="318">
        <v>0.89</v>
      </c>
      <c r="CD31" s="319">
        <v>2.5</v>
      </c>
      <c r="CE31" s="319">
        <f>CC31+CD31</f>
        <v>3.39</v>
      </c>
      <c r="CF31" s="74" t="s">
        <v>2466</v>
      </c>
      <c r="CG31" s="74">
        <v>1</v>
      </c>
      <c r="CH31" s="74">
        <v>20</v>
      </c>
      <c r="CI31" s="74">
        <v>3</v>
      </c>
      <c r="CJ31" s="74">
        <v>60</v>
      </c>
      <c r="CK31" s="16">
        <v>253.4</v>
      </c>
      <c r="CL31" s="74" t="s">
        <v>257</v>
      </c>
      <c r="CM31" s="79" t="s">
        <v>137</v>
      </c>
      <c r="CN31" s="71"/>
      <c r="CO31" s="71"/>
      <c r="CP31" s="1"/>
      <c r="CQ31" s="1"/>
      <c r="CR31" s="1"/>
      <c r="CS31" s="1"/>
      <c r="CT31" s="1"/>
      <c r="CU31" s="1"/>
    </row>
    <row r="32" spans="1:99" s="1" customFormat="1" x14ac:dyDescent="0.25">
      <c r="A32" s="315">
        <v>43004</v>
      </c>
      <c r="B32" s="214" t="s">
        <v>12</v>
      </c>
      <c r="C32" s="214" t="s">
        <v>2439</v>
      </c>
      <c r="D32" s="214" t="s">
        <v>54</v>
      </c>
      <c r="E32" s="214" t="s">
        <v>2440</v>
      </c>
      <c r="F32" s="222" t="s">
        <v>2441</v>
      </c>
      <c r="G32" s="222"/>
      <c r="H32" s="222"/>
      <c r="I32" s="222"/>
      <c r="J32" s="41"/>
      <c r="K32" s="25"/>
      <c r="L32" s="334"/>
      <c r="M32" s="334"/>
      <c r="N32" s="334"/>
      <c r="O32" s="26"/>
      <c r="P32" s="26"/>
      <c r="Q32" s="2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5" t="s">
        <v>2442</v>
      </c>
      <c r="AO32" s="33"/>
      <c r="AP32" s="25"/>
      <c r="AQ32" s="33"/>
      <c r="AR32" s="31" t="s">
        <v>2443</v>
      </c>
      <c r="AS32" s="33"/>
      <c r="AT32" s="25"/>
      <c r="AU32" s="334"/>
      <c r="AV32" s="334"/>
      <c r="AW32" s="41"/>
      <c r="AX32" s="334"/>
      <c r="AY32" s="334"/>
      <c r="AZ32" s="334"/>
      <c r="BA32" s="334"/>
      <c r="BB32" s="334"/>
      <c r="BC32" s="334"/>
      <c r="BD32" s="334"/>
      <c r="BE32" s="31"/>
      <c r="BF32" s="334"/>
      <c r="BG32" s="334"/>
      <c r="BH32" s="334"/>
      <c r="BI32" s="334"/>
      <c r="BJ32" s="334">
        <v>49767</v>
      </c>
      <c r="BK32" s="171">
        <v>45.28</v>
      </c>
      <c r="BL32" s="164" t="s">
        <v>2464</v>
      </c>
      <c r="BM32" s="164" t="s">
        <v>2465</v>
      </c>
      <c r="BN32" s="36"/>
      <c r="BO32" s="36"/>
      <c r="BP32" s="36"/>
      <c r="BQ32" s="333">
        <v>9.25</v>
      </c>
      <c r="BR32" s="333">
        <v>13.52</v>
      </c>
      <c r="BS32" s="323"/>
      <c r="BT32" s="507" t="s">
        <v>917</v>
      </c>
      <c r="BU32" s="508"/>
      <c r="BV32" s="508"/>
      <c r="BW32" s="508"/>
      <c r="BX32" s="509"/>
      <c r="BY32" s="319">
        <v>10.06</v>
      </c>
      <c r="BZ32" s="117">
        <v>9.7200000000000006</v>
      </c>
      <c r="CA32" s="117">
        <v>14.09</v>
      </c>
      <c r="CB32" s="117">
        <v>0.79732000000000003</v>
      </c>
      <c r="CC32" s="318">
        <v>1.1200000000000001</v>
      </c>
      <c r="CD32" s="319">
        <v>7.66</v>
      </c>
      <c r="CE32" s="319">
        <f>CC32+CD32</f>
        <v>8.7800000000000011</v>
      </c>
      <c r="CF32" s="74" t="s">
        <v>2466</v>
      </c>
      <c r="CG32" s="74">
        <v>1</v>
      </c>
      <c r="CH32" s="74">
        <v>16</v>
      </c>
      <c r="CI32" s="74">
        <v>3</v>
      </c>
      <c r="CJ32" s="74">
        <f>CH32*CI32</f>
        <v>48</v>
      </c>
      <c r="CK32" s="148">
        <f>(CE32*CJ32)+50</f>
        <v>471.44000000000005</v>
      </c>
      <c r="CL32" s="74" t="s">
        <v>257</v>
      </c>
      <c r="CM32" s="79" t="s">
        <v>137</v>
      </c>
      <c r="CN32" s="71"/>
      <c r="CO32" s="71"/>
    </row>
    <row r="33" spans="1:99" s="14" customFormat="1" x14ac:dyDescent="0.25">
      <c r="A33" s="315">
        <v>43004</v>
      </c>
      <c r="B33" s="214" t="s">
        <v>12</v>
      </c>
      <c r="C33" s="75" t="s">
        <v>2444</v>
      </c>
      <c r="D33" s="214" t="s">
        <v>54</v>
      </c>
      <c r="E33" s="214" t="s">
        <v>2445</v>
      </c>
      <c r="F33" s="29" t="s">
        <v>1103</v>
      </c>
      <c r="G33" s="29"/>
      <c r="H33" s="29"/>
      <c r="I33" s="29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 t="s">
        <v>2446</v>
      </c>
      <c r="AO33" s="16"/>
      <c r="AP33" s="16"/>
      <c r="AQ33" s="16"/>
      <c r="AR33" s="16" t="s">
        <v>2447</v>
      </c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71">
        <v>163.21</v>
      </c>
      <c r="BL33" s="335" t="s">
        <v>2467</v>
      </c>
      <c r="BM33" s="336" t="s">
        <v>2468</v>
      </c>
      <c r="BN33" s="36"/>
      <c r="BO33" s="36"/>
      <c r="BP33" s="36"/>
      <c r="BQ33" s="266">
        <v>13.06</v>
      </c>
      <c r="BR33" s="266">
        <v>25.73</v>
      </c>
      <c r="BS33" s="323"/>
      <c r="BT33" s="498" t="s">
        <v>917</v>
      </c>
      <c r="BU33" s="499"/>
      <c r="BV33" s="499"/>
      <c r="BW33" s="499"/>
      <c r="BX33" s="500"/>
      <c r="BY33" s="74">
        <v>14.34</v>
      </c>
      <c r="BZ33" s="74">
        <v>14.68</v>
      </c>
      <c r="CA33" s="74">
        <v>26.52</v>
      </c>
      <c r="CB33" s="319">
        <v>3.23</v>
      </c>
      <c r="CC33" s="74">
        <v>2.85</v>
      </c>
      <c r="CD33" s="74">
        <v>10.67</v>
      </c>
      <c r="CE33" s="319">
        <f t="shared" ref="CE33:CE37" si="0">CC33+CD33</f>
        <v>13.52</v>
      </c>
      <c r="CF33" s="74" t="s">
        <v>2466</v>
      </c>
      <c r="CG33" s="16">
        <v>1</v>
      </c>
      <c r="CH33" s="223">
        <v>6</v>
      </c>
      <c r="CI33" s="223">
        <v>1</v>
      </c>
      <c r="CJ33" s="74">
        <f t="shared" ref="CJ33:CJ37" si="1">CH33*CI33</f>
        <v>6</v>
      </c>
      <c r="CK33" s="148">
        <f t="shared" ref="CK33:CK37" si="2">(CE33*CJ33)+50</f>
        <v>131.12</v>
      </c>
      <c r="CL33" s="74" t="s">
        <v>257</v>
      </c>
      <c r="CM33" s="79" t="s">
        <v>137</v>
      </c>
      <c r="CN33" s="71"/>
      <c r="CO33" s="71"/>
      <c r="CP33" s="1"/>
      <c r="CQ33" s="1"/>
      <c r="CR33" s="1"/>
      <c r="CS33" s="1"/>
      <c r="CT33" s="1"/>
      <c r="CU33" s="1"/>
    </row>
    <row r="34" spans="1:99" ht="30" x14ac:dyDescent="0.25">
      <c r="A34" s="315">
        <v>43004</v>
      </c>
      <c r="B34" s="214" t="s">
        <v>12</v>
      </c>
      <c r="C34" s="214" t="s">
        <v>2448</v>
      </c>
      <c r="D34" s="214" t="s">
        <v>54</v>
      </c>
      <c r="E34" s="214" t="s">
        <v>2445</v>
      </c>
      <c r="F34" s="176" t="s">
        <v>2449</v>
      </c>
      <c r="G34" s="176"/>
      <c r="H34" s="176"/>
      <c r="I34" s="176"/>
      <c r="J34" s="41"/>
      <c r="K34" s="334"/>
      <c r="L34" s="334"/>
      <c r="M34" s="334"/>
      <c r="N34" s="334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5" t="s">
        <v>2450</v>
      </c>
      <c r="AO34" s="33"/>
      <c r="AP34" s="25"/>
      <c r="AQ34" s="33"/>
      <c r="AR34" s="31" t="s">
        <v>2451</v>
      </c>
      <c r="AS34" s="33"/>
      <c r="AT34" s="25" t="s">
        <v>2452</v>
      </c>
      <c r="AU34" s="334"/>
      <c r="AV34" s="334"/>
      <c r="AW34" s="41"/>
      <c r="AX34" s="334"/>
      <c r="AY34" s="334"/>
      <c r="AZ34" s="334"/>
      <c r="BA34" s="334"/>
      <c r="BB34" s="334"/>
      <c r="BC34" s="334"/>
      <c r="BD34" s="334"/>
      <c r="BE34" s="31"/>
      <c r="BF34" s="334"/>
      <c r="BG34" s="334"/>
      <c r="BH34" s="334"/>
      <c r="BI34" s="334"/>
      <c r="BJ34" s="334"/>
      <c r="BK34" s="171">
        <v>114</v>
      </c>
      <c r="BL34" s="164" t="s">
        <v>2469</v>
      </c>
      <c r="BM34" s="164" t="s">
        <v>2470</v>
      </c>
      <c r="BN34" s="36"/>
      <c r="BO34" s="36"/>
      <c r="BP34" s="36"/>
      <c r="BQ34" s="333">
        <v>11.53</v>
      </c>
      <c r="BR34" s="333">
        <v>23.34</v>
      </c>
      <c r="BS34" s="323"/>
      <c r="BT34" s="498" t="s">
        <v>917</v>
      </c>
      <c r="BU34" s="499"/>
      <c r="BV34" s="499"/>
      <c r="BW34" s="499"/>
      <c r="BX34" s="500"/>
      <c r="BY34" s="117">
        <v>12.34</v>
      </c>
      <c r="BZ34" s="117">
        <v>12.68</v>
      </c>
      <c r="CA34" s="117">
        <v>25.59</v>
      </c>
      <c r="CB34" s="117">
        <v>2.3170000000000002</v>
      </c>
      <c r="CC34" s="318">
        <v>2.2400000000000002</v>
      </c>
      <c r="CD34" s="319">
        <v>7.62</v>
      </c>
      <c r="CE34" s="319">
        <f t="shared" si="0"/>
        <v>9.86</v>
      </c>
      <c r="CF34" s="74" t="s">
        <v>2466</v>
      </c>
      <c r="CG34" s="74">
        <v>1</v>
      </c>
      <c r="CH34" s="74">
        <v>9</v>
      </c>
      <c r="CI34" s="74">
        <v>1</v>
      </c>
      <c r="CJ34" s="74">
        <f t="shared" si="1"/>
        <v>9</v>
      </c>
      <c r="CK34" s="148">
        <f t="shared" si="2"/>
        <v>138.74</v>
      </c>
      <c r="CL34" s="74" t="s">
        <v>257</v>
      </c>
      <c r="CM34" s="79" t="s">
        <v>137</v>
      </c>
      <c r="CN34" s="71"/>
      <c r="CO34" s="71"/>
      <c r="CP34" s="1"/>
      <c r="CQ34" s="1"/>
      <c r="CR34" s="1"/>
      <c r="CS34" s="1"/>
      <c r="CT34" s="1"/>
      <c r="CU34" s="1"/>
    </row>
    <row r="35" spans="1:99" x14ac:dyDescent="0.25">
      <c r="A35" s="315">
        <v>43004</v>
      </c>
      <c r="B35" s="214" t="s">
        <v>12</v>
      </c>
      <c r="C35" s="214" t="s">
        <v>2453</v>
      </c>
      <c r="D35" s="214" t="s">
        <v>54</v>
      </c>
      <c r="E35" s="214" t="s">
        <v>2454</v>
      </c>
      <c r="F35" s="176" t="s">
        <v>2455</v>
      </c>
      <c r="G35" s="176"/>
      <c r="H35" s="176"/>
      <c r="I35" s="176"/>
      <c r="J35" s="41"/>
      <c r="K35" s="334"/>
      <c r="L35" s="334"/>
      <c r="M35" s="334"/>
      <c r="N35" s="334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5" t="s">
        <v>2456</v>
      </c>
      <c r="AO35" s="33"/>
      <c r="AP35" s="25"/>
      <c r="AQ35" s="33"/>
      <c r="AR35" s="31"/>
      <c r="AS35" s="33"/>
      <c r="AT35" s="25"/>
      <c r="AU35" s="334"/>
      <c r="AV35" s="334"/>
      <c r="AW35" s="41"/>
      <c r="AX35" s="334"/>
      <c r="AY35" s="334"/>
      <c r="AZ35" s="334"/>
      <c r="BA35" s="334"/>
      <c r="BB35" s="334"/>
      <c r="BC35" s="334"/>
      <c r="BD35" s="334"/>
      <c r="BE35" s="31"/>
      <c r="BF35" s="334"/>
      <c r="BG35" s="334"/>
      <c r="BH35" s="334"/>
      <c r="BI35" s="334"/>
      <c r="BJ35" s="334"/>
      <c r="BK35" s="171">
        <v>138.97</v>
      </c>
      <c r="BL35" s="164" t="s">
        <v>2471</v>
      </c>
      <c r="BM35" s="164" t="s">
        <v>2472</v>
      </c>
      <c r="BN35" s="36"/>
      <c r="BO35" s="36"/>
      <c r="BP35" s="36"/>
      <c r="BQ35" s="333">
        <v>12.09</v>
      </c>
      <c r="BR35" s="333">
        <v>22.94</v>
      </c>
      <c r="BS35" s="323"/>
      <c r="BT35" s="498" t="s">
        <v>917</v>
      </c>
      <c r="BU35" s="499"/>
      <c r="BV35" s="499"/>
      <c r="BW35" s="499"/>
      <c r="BX35" s="500"/>
      <c r="BY35" s="117">
        <v>13.86</v>
      </c>
      <c r="BZ35" s="117">
        <v>13.52</v>
      </c>
      <c r="CA35" s="117">
        <v>24.34</v>
      </c>
      <c r="CB35" s="117">
        <v>2.6389999999999998</v>
      </c>
      <c r="CC35" s="318">
        <v>2.48</v>
      </c>
      <c r="CD35" s="319">
        <v>11.46</v>
      </c>
      <c r="CE35" s="319">
        <f>CC35+CD35</f>
        <v>13.940000000000001</v>
      </c>
      <c r="CF35" s="74" t="s">
        <v>2466</v>
      </c>
      <c r="CG35" s="74">
        <v>1</v>
      </c>
      <c r="CH35" s="74">
        <v>9</v>
      </c>
      <c r="CI35" s="74">
        <v>2</v>
      </c>
      <c r="CJ35" s="74">
        <f>CH35*CI35</f>
        <v>18</v>
      </c>
      <c r="CK35" s="148">
        <f>(CE35*CJ35)+50</f>
        <v>300.92</v>
      </c>
      <c r="CL35" s="74" t="s">
        <v>257</v>
      </c>
      <c r="CM35" s="79" t="s">
        <v>137</v>
      </c>
      <c r="CN35" s="71"/>
      <c r="CO35" s="71"/>
      <c r="CP35" s="1"/>
      <c r="CQ35" s="1"/>
      <c r="CR35" s="1"/>
      <c r="CS35" s="1"/>
      <c r="CT35" s="1"/>
      <c r="CU35" s="1"/>
    </row>
    <row r="36" spans="1:99" ht="30" x14ac:dyDescent="0.25">
      <c r="A36" s="315">
        <v>43004</v>
      </c>
      <c r="B36" s="214"/>
      <c r="C36" s="214" t="s">
        <v>2352</v>
      </c>
      <c r="D36" s="214" t="s">
        <v>54</v>
      </c>
      <c r="E36" s="214" t="s">
        <v>2457</v>
      </c>
      <c r="F36" s="176" t="s">
        <v>2458</v>
      </c>
      <c r="G36" s="176"/>
      <c r="H36" s="176"/>
      <c r="I36" s="176"/>
      <c r="J36" s="41" t="s">
        <v>2355</v>
      </c>
      <c r="K36" s="334">
        <v>87404270</v>
      </c>
      <c r="L36" s="334"/>
      <c r="M36" s="334"/>
      <c r="N36" s="334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5" t="s">
        <v>2459</v>
      </c>
      <c r="AO36" s="33"/>
      <c r="AP36" s="25"/>
      <c r="AQ36" s="33"/>
      <c r="AR36" s="31" t="s">
        <v>2361</v>
      </c>
      <c r="AS36" s="33"/>
      <c r="AT36" s="25"/>
      <c r="AU36" s="334"/>
      <c r="AV36" s="334"/>
      <c r="AW36" s="41"/>
      <c r="AX36" s="334"/>
      <c r="AY36" s="334"/>
      <c r="AZ36" s="334"/>
      <c r="BA36" s="334"/>
      <c r="BB36" s="334"/>
      <c r="BC36" s="334"/>
      <c r="BD36" s="334"/>
      <c r="BE36" s="31"/>
      <c r="BF36" s="334"/>
      <c r="BG36" s="334"/>
      <c r="BH36" s="334"/>
      <c r="BI36" s="334"/>
      <c r="BJ36" s="334"/>
      <c r="BK36" s="171">
        <v>190.23</v>
      </c>
      <c r="BL36" s="164" t="s">
        <v>2372</v>
      </c>
      <c r="BM36" s="338">
        <v>10038568704051</v>
      </c>
      <c r="BN36" s="36"/>
      <c r="BO36" s="36"/>
      <c r="BP36" s="36"/>
      <c r="BQ36" s="333">
        <v>13.17</v>
      </c>
      <c r="BR36" s="333">
        <v>24.44</v>
      </c>
      <c r="BS36" s="323"/>
      <c r="BT36" s="498" t="s">
        <v>917</v>
      </c>
      <c r="BU36" s="499"/>
      <c r="BV36" s="499"/>
      <c r="BW36" s="499"/>
      <c r="BX36" s="500"/>
      <c r="BY36" s="117">
        <v>14.22</v>
      </c>
      <c r="BZ36" s="117">
        <v>14.56</v>
      </c>
      <c r="CA36" s="117">
        <v>25.52</v>
      </c>
      <c r="CB36" s="117">
        <v>3.0569999999999999</v>
      </c>
      <c r="CC36" s="318">
        <v>2.75</v>
      </c>
      <c r="CD36" s="319">
        <v>13.61</v>
      </c>
      <c r="CE36" s="319">
        <f t="shared" si="0"/>
        <v>16.36</v>
      </c>
      <c r="CF36" s="74" t="s">
        <v>2466</v>
      </c>
      <c r="CG36" s="74">
        <v>1</v>
      </c>
      <c r="CH36" s="74">
        <v>6</v>
      </c>
      <c r="CI36" s="74">
        <v>1</v>
      </c>
      <c r="CJ36" s="74">
        <f t="shared" si="1"/>
        <v>6</v>
      </c>
      <c r="CK36" s="148">
        <f t="shared" si="2"/>
        <v>148.16</v>
      </c>
      <c r="CL36" s="74" t="s">
        <v>257</v>
      </c>
      <c r="CM36" s="79" t="s">
        <v>137</v>
      </c>
      <c r="CN36" s="71"/>
      <c r="CO36" s="71"/>
      <c r="CP36" s="1"/>
      <c r="CQ36" s="1"/>
      <c r="CR36" s="1"/>
      <c r="CS36" s="1"/>
      <c r="CT36" s="1"/>
      <c r="CU36" s="1"/>
    </row>
    <row r="37" spans="1:99" x14ac:dyDescent="0.25">
      <c r="A37" s="315">
        <v>43004</v>
      </c>
      <c r="B37" s="214" t="s">
        <v>12</v>
      </c>
      <c r="C37" s="214" t="s">
        <v>2460</v>
      </c>
      <c r="D37" s="214" t="s">
        <v>54</v>
      </c>
      <c r="E37" s="214" t="s">
        <v>2445</v>
      </c>
      <c r="F37" s="176" t="s">
        <v>2461</v>
      </c>
      <c r="G37" s="176"/>
      <c r="H37" s="176"/>
      <c r="I37" s="176"/>
      <c r="J37" s="41"/>
      <c r="K37" s="334"/>
      <c r="L37" s="334"/>
      <c r="M37" s="334"/>
      <c r="N37" s="334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5" t="s">
        <v>2462</v>
      </c>
      <c r="AO37" s="33"/>
      <c r="AP37" s="25"/>
      <c r="AQ37" s="33"/>
      <c r="AR37" s="31" t="s">
        <v>2463</v>
      </c>
      <c r="AS37" s="33"/>
      <c r="AT37" s="25"/>
      <c r="AU37" s="334"/>
      <c r="AV37" s="334"/>
      <c r="AW37" s="41"/>
      <c r="AX37" s="334"/>
      <c r="AY37" s="334"/>
      <c r="AZ37" s="334"/>
      <c r="BA37" s="334"/>
      <c r="BB37" s="334"/>
      <c r="BC37" s="334"/>
      <c r="BD37" s="334"/>
      <c r="BE37" s="31"/>
      <c r="BF37" s="334"/>
      <c r="BG37" s="334"/>
      <c r="BH37" s="334"/>
      <c r="BI37" s="334"/>
      <c r="BJ37" s="334"/>
      <c r="BK37" s="171">
        <v>122.5</v>
      </c>
      <c r="BL37" s="164" t="s">
        <v>2473</v>
      </c>
      <c r="BM37" s="164" t="s">
        <v>2474</v>
      </c>
      <c r="BN37" s="36"/>
      <c r="BO37" s="36"/>
      <c r="BP37" s="36"/>
      <c r="BQ37" s="333">
        <v>11.53</v>
      </c>
      <c r="BR37" s="333">
        <v>24.15</v>
      </c>
      <c r="BS37" s="323"/>
      <c r="BT37" s="498" t="s">
        <v>917</v>
      </c>
      <c r="BU37" s="499"/>
      <c r="BV37" s="499"/>
      <c r="BW37" s="499"/>
      <c r="BX37" s="500"/>
      <c r="BY37" s="117">
        <v>12.34</v>
      </c>
      <c r="BZ37" s="117">
        <v>12.68</v>
      </c>
      <c r="CA37" s="117">
        <v>25.59</v>
      </c>
      <c r="CB37" s="117">
        <v>2.3170000000000002</v>
      </c>
      <c r="CC37" s="318">
        <v>2.2400000000000002</v>
      </c>
      <c r="CD37" s="319">
        <v>7.52</v>
      </c>
      <c r="CE37" s="319">
        <f t="shared" si="0"/>
        <v>9.76</v>
      </c>
      <c r="CF37" s="74" t="s">
        <v>2466</v>
      </c>
      <c r="CG37" s="74">
        <v>1</v>
      </c>
      <c r="CH37" s="74">
        <v>9</v>
      </c>
      <c r="CI37" s="74">
        <v>1</v>
      </c>
      <c r="CJ37" s="74">
        <f t="shared" si="1"/>
        <v>9</v>
      </c>
      <c r="CK37" s="148">
        <f t="shared" si="2"/>
        <v>137.84</v>
      </c>
      <c r="CL37" s="74" t="s">
        <v>257</v>
      </c>
      <c r="CM37" s="79" t="s">
        <v>137</v>
      </c>
      <c r="CN37" s="71"/>
      <c r="CO37" s="71"/>
      <c r="CP37" s="1"/>
      <c r="CQ37" s="1"/>
      <c r="CR37" s="1"/>
      <c r="CS37" s="1"/>
      <c r="CT37" s="1"/>
      <c r="CU37" s="1"/>
    </row>
    <row r="38" spans="1:99" s="1" customFormat="1" ht="30" x14ac:dyDescent="0.25">
      <c r="A38" s="315">
        <v>42933</v>
      </c>
      <c r="B38" s="214" t="s">
        <v>12</v>
      </c>
      <c r="C38" s="214" t="s">
        <v>2429</v>
      </c>
      <c r="D38" s="214" t="s">
        <v>54</v>
      </c>
      <c r="E38" s="214" t="s">
        <v>2430</v>
      </c>
      <c r="F38" s="222" t="s">
        <v>2431</v>
      </c>
      <c r="G38" s="222"/>
      <c r="H38" s="222"/>
      <c r="I38" s="222"/>
      <c r="J38" s="330" t="s">
        <v>706</v>
      </c>
      <c r="K38" s="330" t="s">
        <v>2432</v>
      </c>
      <c r="L38" s="330"/>
      <c r="M38" s="330"/>
      <c r="N38" s="25"/>
      <c r="O38" s="26"/>
      <c r="P38" s="26"/>
      <c r="Q38" s="2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5" t="s">
        <v>2433</v>
      </c>
      <c r="AO38" s="33"/>
      <c r="AP38" s="25"/>
      <c r="AQ38" s="33"/>
      <c r="AR38" s="31" t="s">
        <v>2434</v>
      </c>
      <c r="AS38" s="33"/>
      <c r="AT38" s="25" t="s">
        <v>2435</v>
      </c>
      <c r="AU38" s="330"/>
      <c r="AV38" s="330"/>
      <c r="AW38" s="41"/>
      <c r="AX38" s="330"/>
      <c r="AY38" s="330"/>
      <c r="AZ38" s="330"/>
      <c r="BA38" s="330"/>
      <c r="BB38" s="330"/>
      <c r="BC38" s="330"/>
      <c r="BD38" s="330"/>
      <c r="BE38" s="31"/>
      <c r="BF38" s="330"/>
      <c r="BG38" s="330"/>
      <c r="BH38" s="330"/>
      <c r="BI38" s="330"/>
      <c r="BJ38" s="330" t="s">
        <v>2436</v>
      </c>
      <c r="BK38" s="171">
        <v>44</v>
      </c>
      <c r="BL38" s="164" t="s">
        <v>2437</v>
      </c>
      <c r="BM38" s="164" t="s">
        <v>2438</v>
      </c>
      <c r="BN38" s="36"/>
      <c r="BO38" s="36"/>
      <c r="BP38" s="36"/>
      <c r="BQ38" s="329">
        <v>4.12</v>
      </c>
      <c r="BR38" s="329">
        <v>7.46</v>
      </c>
      <c r="BS38" s="323"/>
      <c r="BT38" s="117">
        <v>4.125</v>
      </c>
      <c r="BU38" s="117">
        <v>4.125</v>
      </c>
      <c r="BV38" s="117">
        <v>7.625</v>
      </c>
      <c r="BW38" s="332">
        <f>(BT38*BU38*BV38)/1728</f>
        <v>7.5083414713541671E-2</v>
      </c>
      <c r="BX38" s="117">
        <v>0.11</v>
      </c>
      <c r="BY38" s="319">
        <v>12.62</v>
      </c>
      <c r="BZ38" s="117">
        <v>8.81</v>
      </c>
      <c r="CA38" s="117">
        <v>8.3800000000000008</v>
      </c>
      <c r="CB38" s="117">
        <v>0.59899999999999998</v>
      </c>
      <c r="CC38" s="318">
        <v>0.8</v>
      </c>
      <c r="CD38" s="319">
        <v>0.87</v>
      </c>
      <c r="CE38" s="319">
        <f>((CD38+BX38)*6)+CC38</f>
        <v>6.68</v>
      </c>
      <c r="CF38" s="74" t="s">
        <v>135</v>
      </c>
      <c r="CG38" s="74">
        <v>6</v>
      </c>
      <c r="CH38" s="74">
        <v>15</v>
      </c>
      <c r="CI38" s="74">
        <v>5</v>
      </c>
      <c r="CJ38" s="74">
        <f>CG38*CH38*CI38</f>
        <v>450</v>
      </c>
      <c r="CK38" s="148">
        <f>(CE38*CH38*CI38)+50</f>
        <v>551</v>
      </c>
      <c r="CL38" s="74" t="s">
        <v>257</v>
      </c>
      <c r="CM38" s="331" t="s">
        <v>151</v>
      </c>
      <c r="CN38" s="71"/>
      <c r="CO38" s="71"/>
    </row>
    <row r="39" spans="1:99" s="1" customFormat="1" x14ac:dyDescent="0.25">
      <c r="A39" s="315">
        <v>42915</v>
      </c>
      <c r="B39" s="214" t="s">
        <v>12</v>
      </c>
      <c r="C39" s="214" t="s">
        <v>2410</v>
      </c>
      <c r="D39" s="214" t="s">
        <v>54</v>
      </c>
      <c r="E39" s="214" t="s">
        <v>2411</v>
      </c>
      <c r="F39" s="222" t="s">
        <v>2412</v>
      </c>
      <c r="G39" s="222"/>
      <c r="H39" s="222"/>
      <c r="I39" s="222"/>
      <c r="J39" s="326" t="s">
        <v>895</v>
      </c>
      <c r="K39" s="326" t="s">
        <v>917</v>
      </c>
      <c r="L39" s="326"/>
      <c r="M39" s="326"/>
      <c r="N39" s="25"/>
      <c r="O39" s="26"/>
      <c r="P39" s="26"/>
      <c r="Q39" s="2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5"/>
      <c r="AO39" s="33"/>
      <c r="AP39" s="25"/>
      <c r="AQ39" s="33"/>
      <c r="AR39" s="31"/>
      <c r="AS39" s="33"/>
      <c r="AT39" s="25"/>
      <c r="AU39" s="326"/>
      <c r="AV39" s="326"/>
      <c r="AW39" s="41"/>
      <c r="AX39" s="326"/>
      <c r="AY39" s="326"/>
      <c r="AZ39" s="326"/>
      <c r="BA39" s="326"/>
      <c r="BB39" s="326"/>
      <c r="BC39" s="326"/>
      <c r="BD39" s="326"/>
      <c r="BE39" s="31"/>
      <c r="BF39" s="326"/>
      <c r="BG39" s="326"/>
      <c r="BH39" s="326"/>
      <c r="BI39" s="326"/>
      <c r="BJ39" s="326"/>
      <c r="BK39" s="171">
        <v>74.099999999999994</v>
      </c>
      <c r="BL39" s="164" t="s">
        <v>2421</v>
      </c>
      <c r="BM39" s="164" t="s">
        <v>2422</v>
      </c>
      <c r="BN39" s="36"/>
      <c r="BO39" s="36"/>
      <c r="BP39" s="36"/>
      <c r="BQ39" s="325">
        <v>4.6500000000000004</v>
      </c>
      <c r="BR39" s="325">
        <v>13.9</v>
      </c>
      <c r="BS39" s="323"/>
      <c r="BT39" s="481" t="s">
        <v>2423</v>
      </c>
      <c r="BU39" s="482"/>
      <c r="BV39" s="482"/>
      <c r="BW39" s="482"/>
      <c r="BX39" s="483"/>
      <c r="BY39" s="319">
        <v>15.09</v>
      </c>
      <c r="BZ39" s="117">
        <v>10.09</v>
      </c>
      <c r="CA39" s="117">
        <v>14.81</v>
      </c>
      <c r="CB39" s="117">
        <f t="shared" ref="CB39" si="3">(BY39*BZ39*CA39)/1728</f>
        <v>1.3049435538194443</v>
      </c>
      <c r="CC39" s="318">
        <v>1.17</v>
      </c>
      <c r="CD39" s="319">
        <v>3.93</v>
      </c>
      <c r="CE39" s="319">
        <f>(CD39*CG39)+CC39</f>
        <v>24.75</v>
      </c>
      <c r="CF39" s="74" t="s">
        <v>2424</v>
      </c>
      <c r="CG39" s="74">
        <v>6</v>
      </c>
      <c r="CH39" s="74">
        <v>12</v>
      </c>
      <c r="CI39" s="74">
        <v>3</v>
      </c>
      <c r="CJ39" s="74">
        <f t="shared" ref="CJ39" si="4">CG39*CH39*CI39</f>
        <v>216</v>
      </c>
      <c r="CK39" s="148">
        <f>(CH39*CI39*CE39)+50</f>
        <v>941</v>
      </c>
      <c r="CL39" s="74" t="s">
        <v>257</v>
      </c>
      <c r="CM39" s="79" t="s">
        <v>151</v>
      </c>
      <c r="CN39" s="71"/>
      <c r="CO39" s="71"/>
    </row>
    <row r="40" spans="1:99" s="1" customFormat="1" x14ac:dyDescent="0.25">
      <c r="A40" s="315">
        <v>42915</v>
      </c>
      <c r="B40" s="214" t="s">
        <v>12</v>
      </c>
      <c r="C40" s="214" t="s">
        <v>2413</v>
      </c>
      <c r="D40" s="214" t="s">
        <v>54</v>
      </c>
      <c r="E40" s="214" t="s">
        <v>2411</v>
      </c>
      <c r="F40" s="176" t="s">
        <v>2414</v>
      </c>
      <c r="G40" s="176"/>
      <c r="H40" s="176"/>
      <c r="I40" s="176"/>
      <c r="J40" s="41" t="s">
        <v>895</v>
      </c>
      <c r="K40" s="326">
        <v>4367100</v>
      </c>
      <c r="L40" s="326"/>
      <c r="M40" s="326"/>
      <c r="N40" s="25"/>
      <c r="O40" s="26"/>
      <c r="P40" s="26"/>
      <c r="Q40" s="2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5" t="s">
        <v>2415</v>
      </c>
      <c r="AO40" s="33"/>
      <c r="AP40" s="25"/>
      <c r="AQ40" s="33"/>
      <c r="AR40" s="31" t="s">
        <v>2416</v>
      </c>
      <c r="AS40" s="33"/>
      <c r="AT40" s="25" t="s">
        <v>2417</v>
      </c>
      <c r="AU40" s="326"/>
      <c r="AV40" s="326"/>
      <c r="AW40" s="41"/>
      <c r="AX40" s="326"/>
      <c r="AY40" s="326"/>
      <c r="AZ40" s="326"/>
      <c r="BA40" s="326"/>
      <c r="BB40" s="326"/>
      <c r="BC40" s="326"/>
      <c r="BD40" s="326"/>
      <c r="BE40" s="31"/>
      <c r="BF40" s="326"/>
      <c r="BG40" s="326"/>
      <c r="BH40" s="326"/>
      <c r="BI40" s="326"/>
      <c r="BJ40" s="31" t="s">
        <v>2418</v>
      </c>
      <c r="BK40" s="171">
        <v>55.89</v>
      </c>
      <c r="BL40" s="164" t="s">
        <v>2425</v>
      </c>
      <c r="BM40" s="164" t="s">
        <v>2426</v>
      </c>
      <c r="BN40" s="36"/>
      <c r="BO40" s="36"/>
      <c r="BP40" s="36"/>
      <c r="BQ40" s="325">
        <v>4.6500000000000004</v>
      </c>
      <c r="BR40" s="325">
        <v>11.904</v>
      </c>
      <c r="BS40" s="323"/>
      <c r="BT40" s="481" t="s">
        <v>2423</v>
      </c>
      <c r="BU40" s="482"/>
      <c r="BV40" s="482"/>
      <c r="BW40" s="482"/>
      <c r="BX40" s="483"/>
      <c r="BY40" s="319">
        <v>15.01</v>
      </c>
      <c r="BZ40" s="117">
        <v>10.26</v>
      </c>
      <c r="CA40" s="117">
        <v>13.27</v>
      </c>
      <c r="CB40" s="117">
        <f>(BY40*BZ40*CA40)/1728</f>
        <v>1.18264728125</v>
      </c>
      <c r="CC40" s="318">
        <v>1.1000000000000001</v>
      </c>
      <c r="CD40" s="319">
        <v>3.6</v>
      </c>
      <c r="CE40" s="319">
        <f>(CD40*CG40)+CC40</f>
        <v>22.700000000000003</v>
      </c>
      <c r="CF40" s="74" t="s">
        <v>2424</v>
      </c>
      <c r="CG40" s="74">
        <v>6</v>
      </c>
      <c r="CH40" s="74">
        <v>10</v>
      </c>
      <c r="CI40" s="74">
        <v>3</v>
      </c>
      <c r="CJ40" s="74">
        <f>CG40*CH40*CI40</f>
        <v>180</v>
      </c>
      <c r="CK40" s="148">
        <f>(CH40*CI40*CE40)+50</f>
        <v>731.00000000000011</v>
      </c>
      <c r="CL40" s="74" t="s">
        <v>257</v>
      </c>
      <c r="CM40" s="79" t="s">
        <v>151</v>
      </c>
      <c r="CN40" s="71"/>
      <c r="CO40" s="71"/>
    </row>
    <row r="41" spans="1:99" s="1" customFormat="1" ht="30" x14ac:dyDescent="0.25">
      <c r="A41" s="315">
        <v>42915</v>
      </c>
      <c r="B41" s="214" t="s">
        <v>12</v>
      </c>
      <c r="C41" s="214" t="s">
        <v>2419</v>
      </c>
      <c r="D41" s="214" t="s">
        <v>54</v>
      </c>
      <c r="E41" s="214" t="s">
        <v>2382</v>
      </c>
      <c r="F41" s="176" t="s">
        <v>2420</v>
      </c>
      <c r="G41" s="176"/>
      <c r="H41" s="176"/>
      <c r="I41" s="176"/>
      <c r="J41" s="41" t="s">
        <v>722</v>
      </c>
      <c r="K41" s="326" t="s">
        <v>917</v>
      </c>
      <c r="L41" s="326"/>
      <c r="M41" s="326"/>
      <c r="N41" s="25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5"/>
      <c r="AO41" s="33"/>
      <c r="AP41" s="25"/>
      <c r="AQ41" s="33"/>
      <c r="AR41" s="31"/>
      <c r="AS41" s="33"/>
      <c r="AT41" s="25"/>
      <c r="AU41" s="326"/>
      <c r="AV41" s="326"/>
      <c r="AW41" s="41"/>
      <c r="AX41" s="326"/>
      <c r="AY41" s="326"/>
      <c r="AZ41" s="326"/>
      <c r="BA41" s="326"/>
      <c r="BB41" s="326"/>
      <c r="BC41" s="326"/>
      <c r="BD41" s="326"/>
      <c r="BE41" s="31"/>
      <c r="BF41" s="326"/>
      <c r="BG41" s="326"/>
      <c r="BH41" s="326"/>
      <c r="BI41" s="326"/>
      <c r="BJ41" s="31"/>
      <c r="BK41" s="171">
        <v>115.63</v>
      </c>
      <c r="BL41" s="164" t="s">
        <v>2427</v>
      </c>
      <c r="BM41" s="164" t="s">
        <v>2428</v>
      </c>
      <c r="BN41" s="36"/>
      <c r="BO41" s="36"/>
      <c r="BP41" s="36"/>
      <c r="BQ41" s="36"/>
      <c r="BR41" s="36"/>
      <c r="BS41" s="323"/>
      <c r="BT41" s="481" t="s">
        <v>2423</v>
      </c>
      <c r="BU41" s="482"/>
      <c r="BV41" s="482"/>
      <c r="BW41" s="482"/>
      <c r="BX41" s="483"/>
      <c r="BY41" s="117">
        <v>13.59</v>
      </c>
      <c r="BZ41" s="117">
        <v>9.09</v>
      </c>
      <c r="CA41" s="117">
        <v>11.18</v>
      </c>
      <c r="CB41" s="117">
        <f t="shared" ref="CB41" si="5">(BY41*BZ41*CA41)/1728</f>
        <v>0.79924771874999989</v>
      </c>
      <c r="CC41" s="318">
        <v>0.84</v>
      </c>
      <c r="CD41" s="319">
        <v>10.5</v>
      </c>
      <c r="CE41" s="319">
        <f t="shared" ref="CE41" si="6">(CD41*CG41)+CC41</f>
        <v>11.34</v>
      </c>
      <c r="CF41" s="74" t="s">
        <v>2424</v>
      </c>
      <c r="CG41" s="74">
        <v>1</v>
      </c>
      <c r="CH41" s="74">
        <v>13</v>
      </c>
      <c r="CI41" s="74">
        <v>4</v>
      </c>
      <c r="CJ41" s="74">
        <f t="shared" ref="CJ41" si="7">CG41*CH41*CI41</f>
        <v>52</v>
      </c>
      <c r="CK41" s="148">
        <f t="shared" ref="CK41" si="8">(CH41*CI41*CE41)+50</f>
        <v>639.67999999999995</v>
      </c>
      <c r="CL41" s="74" t="s">
        <v>257</v>
      </c>
      <c r="CM41" s="79" t="s">
        <v>151</v>
      </c>
      <c r="CN41" s="71"/>
      <c r="CO41" s="71"/>
    </row>
    <row r="42" spans="1:99" s="1" customFormat="1" x14ac:dyDescent="0.25">
      <c r="A42" s="315">
        <v>42902</v>
      </c>
      <c r="B42" s="214" t="s">
        <v>12</v>
      </c>
      <c r="C42" s="214" t="s">
        <v>2406</v>
      </c>
      <c r="D42" s="214" t="s">
        <v>54</v>
      </c>
      <c r="E42" s="327" t="s">
        <v>2409</v>
      </c>
      <c r="F42" s="222" t="s">
        <v>2374</v>
      </c>
      <c r="G42" s="222"/>
      <c r="H42" s="222"/>
      <c r="I42" s="222"/>
      <c r="J42" s="41" t="s">
        <v>740</v>
      </c>
      <c r="K42" s="25" t="s">
        <v>2375</v>
      </c>
      <c r="L42" s="320"/>
      <c r="M42" s="320"/>
      <c r="N42" s="25"/>
      <c r="O42" s="26"/>
      <c r="P42" s="26"/>
      <c r="Q42" s="2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5" t="s">
        <v>2376</v>
      </c>
      <c r="AO42" s="33"/>
      <c r="AP42" s="25"/>
      <c r="AQ42" s="33"/>
      <c r="AR42" s="31" t="s">
        <v>2377</v>
      </c>
      <c r="AS42" s="33"/>
      <c r="AT42" s="25" t="s">
        <v>2378</v>
      </c>
      <c r="AU42" s="320" t="s">
        <v>2379</v>
      </c>
      <c r="AV42" s="320"/>
      <c r="AW42" s="41"/>
      <c r="AX42" s="320"/>
      <c r="AY42" s="320"/>
      <c r="AZ42" s="320"/>
      <c r="BA42" s="320"/>
      <c r="BB42" s="320"/>
      <c r="BC42" s="320"/>
      <c r="BD42" s="320"/>
      <c r="BE42" s="31" t="s">
        <v>2380</v>
      </c>
      <c r="BF42" s="320"/>
      <c r="BG42" s="320"/>
      <c r="BH42" s="320"/>
      <c r="BI42" s="320"/>
      <c r="BJ42" s="320">
        <v>57909</v>
      </c>
      <c r="BK42" s="171">
        <v>39.869999999999997</v>
      </c>
      <c r="BL42" s="164" t="s">
        <v>2394</v>
      </c>
      <c r="BM42" s="164" t="s">
        <v>2395</v>
      </c>
      <c r="BN42" s="36"/>
      <c r="BO42" s="36"/>
      <c r="BP42" s="36"/>
      <c r="BQ42" s="321">
        <v>4.6849999999999996</v>
      </c>
      <c r="BR42" s="321">
        <v>10.413</v>
      </c>
      <c r="BS42" s="323"/>
      <c r="BT42" s="495" t="s">
        <v>2396</v>
      </c>
      <c r="BU42" s="496"/>
      <c r="BV42" s="496"/>
      <c r="BW42" s="496"/>
      <c r="BX42" s="497"/>
      <c r="BY42" s="319">
        <f>15.748+0.25</f>
        <v>15.997999999999999</v>
      </c>
      <c r="BZ42" s="117">
        <f>10.039+0.25</f>
        <v>10.289</v>
      </c>
      <c r="CA42" s="117">
        <f>10.827+0.5</f>
        <v>11.327</v>
      </c>
      <c r="CB42" s="117">
        <f>(BY42*BZ42*CA42)/1728</f>
        <v>1.078971620945602</v>
      </c>
      <c r="CC42" s="318">
        <v>1.3</v>
      </c>
      <c r="CD42" s="319">
        <v>0.8</v>
      </c>
      <c r="CE42" s="319">
        <f>(CD42*CG42)+CC42</f>
        <v>6.1000000000000005</v>
      </c>
      <c r="CF42" s="74" t="s">
        <v>135</v>
      </c>
      <c r="CG42" s="74">
        <v>6</v>
      </c>
      <c r="CH42" s="74">
        <v>10</v>
      </c>
      <c r="CI42" s="74">
        <v>3</v>
      </c>
      <c r="CJ42" s="74">
        <f>CG42*CH42*CI42</f>
        <v>180</v>
      </c>
      <c r="CK42" s="148">
        <f>(CE42*CH42*CI42)+50</f>
        <v>233.00000000000003</v>
      </c>
      <c r="CL42" s="74" t="s">
        <v>150</v>
      </c>
      <c r="CM42" s="79" t="s">
        <v>151</v>
      </c>
      <c r="CN42" s="71"/>
      <c r="CO42" s="71"/>
    </row>
    <row r="43" spans="1:99" s="1" customFormat="1" ht="30" x14ac:dyDescent="0.25">
      <c r="A43" s="315">
        <v>42902</v>
      </c>
      <c r="B43" s="214" t="s">
        <v>12</v>
      </c>
      <c r="C43" s="214" t="s">
        <v>2381</v>
      </c>
      <c r="D43" s="214" t="s">
        <v>54</v>
      </c>
      <c r="E43" s="214" t="s">
        <v>2382</v>
      </c>
      <c r="F43" s="176" t="s">
        <v>2383</v>
      </c>
      <c r="G43" s="176"/>
      <c r="H43" s="176"/>
      <c r="I43" s="176"/>
      <c r="J43" s="41" t="s">
        <v>1973</v>
      </c>
      <c r="K43" s="320" t="s">
        <v>917</v>
      </c>
      <c r="L43" s="320"/>
      <c r="M43" s="320"/>
      <c r="N43" s="25"/>
      <c r="O43" s="26"/>
      <c r="P43" s="26"/>
      <c r="Q43" s="2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5"/>
      <c r="AO43" s="33"/>
      <c r="AP43" s="25"/>
      <c r="AQ43" s="33"/>
      <c r="AR43" s="31"/>
      <c r="AS43" s="33"/>
      <c r="AT43" s="25"/>
      <c r="AU43" s="320"/>
      <c r="AV43" s="320"/>
      <c r="AW43" s="41"/>
      <c r="AX43" s="320"/>
      <c r="AY43" s="320"/>
      <c r="AZ43" s="320"/>
      <c r="BA43" s="320"/>
      <c r="BB43" s="320"/>
      <c r="BC43" s="320"/>
      <c r="BD43" s="320"/>
      <c r="BE43" s="31"/>
      <c r="BF43" s="320"/>
      <c r="BG43" s="320"/>
      <c r="BH43" s="320"/>
      <c r="BI43" s="320"/>
      <c r="BJ43" s="320"/>
      <c r="BK43" s="171">
        <v>99.93</v>
      </c>
      <c r="BL43" s="164" t="s">
        <v>2397</v>
      </c>
      <c r="BM43" s="164" t="s">
        <v>2398</v>
      </c>
      <c r="BN43" s="36"/>
      <c r="BO43" s="36"/>
      <c r="BP43" s="36"/>
      <c r="BQ43" s="36"/>
      <c r="BR43" s="36"/>
      <c r="BS43" s="323"/>
      <c r="BT43" s="481" t="s">
        <v>2399</v>
      </c>
      <c r="BU43" s="482"/>
      <c r="BV43" s="482"/>
      <c r="BW43" s="482"/>
      <c r="BX43" s="483"/>
      <c r="BY43" s="117">
        <v>13.59</v>
      </c>
      <c r="BZ43" s="117">
        <v>9.09</v>
      </c>
      <c r="CA43" s="117">
        <v>11.18</v>
      </c>
      <c r="CB43" s="117">
        <f t="shared" ref="CB43:CB46" si="9">(BY43*BZ43*CA43)/1728</f>
        <v>0.79924771874999989</v>
      </c>
      <c r="CC43" s="318">
        <v>0.82</v>
      </c>
      <c r="CD43" s="319">
        <v>10.39</v>
      </c>
      <c r="CE43" s="319">
        <f>(CD43*CG43)+CC43</f>
        <v>11.21</v>
      </c>
      <c r="CF43" s="74" t="s">
        <v>135</v>
      </c>
      <c r="CG43" s="74">
        <v>1</v>
      </c>
      <c r="CH43" s="74">
        <v>13</v>
      </c>
      <c r="CI43" s="74">
        <v>4</v>
      </c>
      <c r="CJ43" s="74">
        <f>CG43*CH43*CI43</f>
        <v>52</v>
      </c>
      <c r="CK43" s="148">
        <f t="shared" ref="CK43:CK46" si="10">(CE43*CH43*CI43)+50</f>
        <v>632.92000000000007</v>
      </c>
      <c r="CL43" s="74" t="s">
        <v>257</v>
      </c>
      <c r="CM43" s="79" t="s">
        <v>151</v>
      </c>
      <c r="CN43" s="71"/>
      <c r="CO43" s="71"/>
    </row>
    <row r="44" spans="1:99" s="1" customFormat="1" ht="30" x14ac:dyDescent="0.25">
      <c r="A44" s="315">
        <v>42902</v>
      </c>
      <c r="B44" s="214" t="s">
        <v>12</v>
      </c>
      <c r="C44" s="214" t="s">
        <v>2384</v>
      </c>
      <c r="D44" s="214" t="s">
        <v>54</v>
      </c>
      <c r="E44" s="214" t="s">
        <v>2382</v>
      </c>
      <c r="F44" s="176" t="s">
        <v>2385</v>
      </c>
      <c r="G44" s="176"/>
      <c r="H44" s="176"/>
      <c r="I44" s="176"/>
      <c r="J44" s="41" t="s">
        <v>1973</v>
      </c>
      <c r="K44" s="320" t="s">
        <v>917</v>
      </c>
      <c r="L44" s="320"/>
      <c r="M44" s="320"/>
      <c r="N44" s="25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5"/>
      <c r="AO44" s="33"/>
      <c r="AP44" s="25"/>
      <c r="AQ44" s="33"/>
      <c r="AR44" s="31"/>
      <c r="AS44" s="33"/>
      <c r="AT44" s="25"/>
      <c r="AU44" s="320"/>
      <c r="AV44" s="320"/>
      <c r="AW44" s="41"/>
      <c r="AX44" s="320"/>
      <c r="AY44" s="320"/>
      <c r="AZ44" s="320"/>
      <c r="BA44" s="320"/>
      <c r="BB44" s="320"/>
      <c r="BC44" s="320"/>
      <c r="BD44" s="320"/>
      <c r="BE44" s="31"/>
      <c r="BF44" s="320"/>
      <c r="BG44" s="320"/>
      <c r="BH44" s="320"/>
      <c r="BI44" s="320"/>
      <c r="BJ44" s="320"/>
      <c r="BK44" s="171">
        <v>162.51</v>
      </c>
      <c r="BL44" s="164" t="s">
        <v>2400</v>
      </c>
      <c r="BM44" s="164" t="s">
        <v>2401</v>
      </c>
      <c r="BN44" s="36"/>
      <c r="BO44" s="36"/>
      <c r="BP44" s="36"/>
      <c r="BQ44" s="36"/>
      <c r="BR44" s="36"/>
      <c r="BS44" s="323"/>
      <c r="BT44" s="481" t="s">
        <v>2399</v>
      </c>
      <c r="BU44" s="482"/>
      <c r="BV44" s="482"/>
      <c r="BW44" s="482"/>
      <c r="BX44" s="483"/>
      <c r="BY44" s="117">
        <v>14.59</v>
      </c>
      <c r="BZ44" s="117">
        <v>9.7100000000000009</v>
      </c>
      <c r="CA44" s="117">
        <v>11.74</v>
      </c>
      <c r="CB44" s="117">
        <f t="shared" si="9"/>
        <v>0.96249588310185186</v>
      </c>
      <c r="CC44" s="318">
        <v>1.34</v>
      </c>
      <c r="CD44" s="319">
        <v>11.6</v>
      </c>
      <c r="CE44" s="319">
        <f t="shared" ref="CE44:CE45" si="11">(CD44*CG44)+CC44</f>
        <v>12.94</v>
      </c>
      <c r="CF44" s="74" t="s">
        <v>135</v>
      </c>
      <c r="CG44" s="74">
        <v>1</v>
      </c>
      <c r="CH44" s="74">
        <v>12</v>
      </c>
      <c r="CI44" s="74">
        <v>3</v>
      </c>
      <c r="CJ44" s="74">
        <f t="shared" ref="CJ44:CJ46" si="12">CG44*CH44*CI44</f>
        <v>36</v>
      </c>
      <c r="CK44" s="148">
        <f t="shared" si="10"/>
        <v>515.84</v>
      </c>
      <c r="CL44" s="74" t="s">
        <v>257</v>
      </c>
      <c r="CM44" s="79" t="s">
        <v>151</v>
      </c>
      <c r="CN44" s="71"/>
      <c r="CO44" s="71"/>
    </row>
    <row r="45" spans="1:99" s="1" customFormat="1" x14ac:dyDescent="0.25">
      <c r="A45" s="315">
        <v>42902</v>
      </c>
      <c r="B45" s="214" t="s">
        <v>12</v>
      </c>
      <c r="C45" s="214" t="s">
        <v>2386</v>
      </c>
      <c r="D45" s="214" t="s">
        <v>54</v>
      </c>
      <c r="E45" s="214" t="s">
        <v>2382</v>
      </c>
      <c r="F45" s="176" t="s">
        <v>2387</v>
      </c>
      <c r="G45" s="176"/>
      <c r="H45" s="176"/>
      <c r="I45" s="176"/>
      <c r="J45" s="41" t="s">
        <v>722</v>
      </c>
      <c r="K45" s="320" t="s">
        <v>917</v>
      </c>
      <c r="L45" s="320"/>
      <c r="M45" s="320"/>
      <c r="N45" s="25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5"/>
      <c r="AO45" s="33"/>
      <c r="AP45" s="25"/>
      <c r="AQ45" s="33"/>
      <c r="AR45" s="31"/>
      <c r="AS45" s="33"/>
      <c r="AT45" s="25"/>
      <c r="AU45" s="320"/>
      <c r="AV45" s="320"/>
      <c r="AW45" s="41"/>
      <c r="AX45" s="320"/>
      <c r="AY45" s="320"/>
      <c r="AZ45" s="320"/>
      <c r="BA45" s="320"/>
      <c r="BB45" s="320"/>
      <c r="BC45" s="320"/>
      <c r="BD45" s="320"/>
      <c r="BE45" s="31"/>
      <c r="BF45" s="320"/>
      <c r="BG45" s="320"/>
      <c r="BH45" s="320"/>
      <c r="BI45" s="320"/>
      <c r="BJ45" s="320"/>
      <c r="BK45" s="171">
        <v>84.29</v>
      </c>
      <c r="BL45" s="164" t="s">
        <v>2402</v>
      </c>
      <c r="BM45" s="164" t="s">
        <v>2403</v>
      </c>
      <c r="BN45" s="36"/>
      <c r="BO45" s="36"/>
      <c r="BP45" s="36"/>
      <c r="BQ45" s="36"/>
      <c r="BR45" s="36"/>
      <c r="BS45" s="323"/>
      <c r="BT45" s="481" t="s">
        <v>2399</v>
      </c>
      <c r="BU45" s="482"/>
      <c r="BV45" s="482"/>
      <c r="BW45" s="482"/>
      <c r="BX45" s="483"/>
      <c r="BY45" s="117">
        <v>9.09</v>
      </c>
      <c r="BZ45" s="117">
        <v>9.09</v>
      </c>
      <c r="CA45" s="117">
        <v>11.93</v>
      </c>
      <c r="CB45" s="117">
        <f t="shared" si="9"/>
        <v>0.57045904687500004</v>
      </c>
      <c r="CC45" s="318">
        <v>1</v>
      </c>
      <c r="CD45" s="319">
        <v>9.4</v>
      </c>
      <c r="CE45" s="319">
        <f t="shared" si="11"/>
        <v>10.4</v>
      </c>
      <c r="CF45" s="74" t="s">
        <v>135</v>
      </c>
      <c r="CG45" s="74">
        <v>1</v>
      </c>
      <c r="CH45" s="74">
        <v>20</v>
      </c>
      <c r="CI45" s="74">
        <v>3</v>
      </c>
      <c r="CJ45" s="74">
        <f t="shared" si="12"/>
        <v>60</v>
      </c>
      <c r="CK45" s="148">
        <f t="shared" si="10"/>
        <v>674</v>
      </c>
      <c r="CL45" s="74" t="s">
        <v>257</v>
      </c>
      <c r="CM45" s="79" t="s">
        <v>151</v>
      </c>
      <c r="CN45" s="71"/>
      <c r="CO45" s="71"/>
    </row>
    <row r="46" spans="1:99" s="1" customFormat="1" x14ac:dyDescent="0.25">
      <c r="A46" s="315">
        <v>42902</v>
      </c>
      <c r="B46" s="214" t="s">
        <v>12</v>
      </c>
      <c r="C46" s="264" t="s">
        <v>2407</v>
      </c>
      <c r="D46" s="214" t="s">
        <v>54</v>
      </c>
      <c r="E46" s="328" t="s">
        <v>2408</v>
      </c>
      <c r="F46" s="176" t="s">
        <v>2388</v>
      </c>
      <c r="G46" s="176"/>
      <c r="H46" s="176"/>
      <c r="I46" s="176"/>
      <c r="J46" s="41" t="s">
        <v>1826</v>
      </c>
      <c r="K46" s="25">
        <v>1561200</v>
      </c>
      <c r="L46" s="320"/>
      <c r="M46" s="320"/>
      <c r="N46" s="25"/>
      <c r="O46" s="26"/>
      <c r="P46" s="26"/>
      <c r="Q46" s="2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5" t="s">
        <v>2389</v>
      </c>
      <c r="AO46" s="33"/>
      <c r="AP46" s="25"/>
      <c r="AQ46" s="33"/>
      <c r="AR46" s="31" t="s">
        <v>2390</v>
      </c>
      <c r="AS46" s="33"/>
      <c r="AT46" s="25" t="s">
        <v>2391</v>
      </c>
      <c r="AU46" s="320" t="s">
        <v>2392</v>
      </c>
      <c r="AV46" s="320"/>
      <c r="AW46" s="41"/>
      <c r="AX46" s="320"/>
      <c r="AY46" s="320"/>
      <c r="AZ46" s="320"/>
      <c r="BA46" s="320"/>
      <c r="BB46" s="320"/>
      <c r="BC46" s="320"/>
      <c r="BD46" s="320"/>
      <c r="BE46" s="31"/>
      <c r="BF46" s="320"/>
      <c r="BG46" s="320"/>
      <c r="BH46" s="320"/>
      <c r="BI46" s="320"/>
      <c r="BJ46" s="320" t="s">
        <v>2393</v>
      </c>
      <c r="BK46" s="171">
        <v>24.08</v>
      </c>
      <c r="BL46" s="324" t="s">
        <v>2404</v>
      </c>
      <c r="BM46" s="324" t="s">
        <v>2405</v>
      </c>
      <c r="BN46" s="36"/>
      <c r="BO46" s="36"/>
      <c r="BP46" s="36"/>
      <c r="BQ46" s="321">
        <v>3.27</v>
      </c>
      <c r="BR46" s="321">
        <v>5.29</v>
      </c>
      <c r="BS46" s="96"/>
      <c r="BT46" s="288">
        <v>3.81</v>
      </c>
      <c r="BU46" s="288">
        <v>3.81</v>
      </c>
      <c r="BV46" s="288">
        <v>5.37</v>
      </c>
      <c r="BW46" s="286">
        <v>4.5999999999999999E-2</v>
      </c>
      <c r="BX46" s="77">
        <v>0.08</v>
      </c>
      <c r="BY46" s="285">
        <v>11.92</v>
      </c>
      <c r="BZ46" s="285">
        <v>7.99</v>
      </c>
      <c r="CA46" s="285">
        <v>5.98</v>
      </c>
      <c r="CB46" s="117">
        <f t="shared" si="9"/>
        <v>0.32959489814814824</v>
      </c>
      <c r="CC46" s="80">
        <v>0.42</v>
      </c>
      <c r="CD46" s="80">
        <v>0.64200000000000002</v>
      </c>
      <c r="CE46" s="319">
        <f>((BX46+CD46)*CG46)+CC46</f>
        <v>4.7519999999999998</v>
      </c>
      <c r="CF46" s="105" t="s">
        <v>135</v>
      </c>
      <c r="CG46" s="322">
        <v>6</v>
      </c>
      <c r="CH46" s="322">
        <v>20</v>
      </c>
      <c r="CI46" s="322">
        <v>7</v>
      </c>
      <c r="CJ46" s="74">
        <f t="shared" si="12"/>
        <v>840</v>
      </c>
      <c r="CK46" s="148">
        <f t="shared" si="10"/>
        <v>715.28</v>
      </c>
      <c r="CL46" s="27" t="s">
        <v>257</v>
      </c>
      <c r="CM46" s="79" t="s">
        <v>151</v>
      </c>
      <c r="CN46" s="71"/>
      <c r="CO46" s="71"/>
    </row>
    <row r="47" spans="1:99" s="1" customFormat="1" ht="30" x14ac:dyDescent="0.25">
      <c r="A47" s="315">
        <v>42888</v>
      </c>
      <c r="B47" s="214" t="s">
        <v>12</v>
      </c>
      <c r="C47" s="214" t="s">
        <v>2340</v>
      </c>
      <c r="D47" s="214" t="s">
        <v>54</v>
      </c>
      <c r="E47" s="214" t="s">
        <v>1078</v>
      </c>
      <c r="F47" s="222" t="s">
        <v>2341</v>
      </c>
      <c r="G47" s="222"/>
      <c r="H47" s="222"/>
      <c r="I47" s="222"/>
      <c r="J47" s="41" t="s">
        <v>872</v>
      </c>
      <c r="K47" s="25" t="s">
        <v>917</v>
      </c>
      <c r="L47" s="314"/>
      <c r="M47" s="314"/>
      <c r="N47" s="25"/>
      <c r="O47" s="26"/>
      <c r="P47" s="26"/>
      <c r="Q47" s="2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5"/>
      <c r="AO47" s="33"/>
      <c r="AP47" s="25"/>
      <c r="AQ47" s="33"/>
      <c r="AR47" s="31"/>
      <c r="AS47" s="33"/>
      <c r="AT47" s="25"/>
      <c r="AU47" s="314"/>
      <c r="AV47" s="314"/>
      <c r="AW47" s="41"/>
      <c r="AX47" s="314"/>
      <c r="AY47" s="314"/>
      <c r="AZ47" s="314"/>
      <c r="BA47" s="314"/>
      <c r="BB47" s="314"/>
      <c r="BC47" s="314"/>
      <c r="BD47" s="314"/>
      <c r="BE47" s="31"/>
      <c r="BF47" s="314"/>
      <c r="BG47" s="314"/>
      <c r="BH47" s="314"/>
      <c r="BI47" s="314"/>
      <c r="BJ47" s="314"/>
      <c r="BK47" s="171">
        <v>54.68</v>
      </c>
      <c r="BL47" s="164" t="s">
        <v>2366</v>
      </c>
      <c r="BM47" s="164" t="s">
        <v>2367</v>
      </c>
      <c r="BN47" s="36"/>
      <c r="BO47" s="36"/>
      <c r="BP47" s="36"/>
      <c r="BQ47" s="36"/>
      <c r="BR47" s="36"/>
      <c r="BS47" s="317">
        <v>3.18</v>
      </c>
      <c r="BT47" s="481" t="s">
        <v>2368</v>
      </c>
      <c r="BU47" s="482"/>
      <c r="BV47" s="482"/>
      <c r="BW47" s="482"/>
      <c r="BX47" s="483"/>
      <c r="BY47" s="117">
        <v>8.99</v>
      </c>
      <c r="BZ47" s="117">
        <v>8.99</v>
      </c>
      <c r="CA47" s="117">
        <v>8.85</v>
      </c>
      <c r="CB47" s="117">
        <f>(CA47*BZ47*BY47)/1728</f>
        <v>0.41392238715277779</v>
      </c>
      <c r="CC47" s="318">
        <f>0.48+0.1</f>
        <v>0.57999999999999996</v>
      </c>
      <c r="CD47" s="319">
        <f>BS47</f>
        <v>3.18</v>
      </c>
      <c r="CE47" s="319">
        <f>(BS47*CG47)+CC47</f>
        <v>3.7600000000000002</v>
      </c>
      <c r="CF47" s="74" t="s">
        <v>135</v>
      </c>
      <c r="CG47" s="74">
        <v>1</v>
      </c>
      <c r="CH47" s="74">
        <v>20</v>
      </c>
      <c r="CI47" s="74">
        <v>5</v>
      </c>
      <c r="CJ47" s="74">
        <f>CG47*CH47*CI47</f>
        <v>100</v>
      </c>
      <c r="CK47" s="148">
        <f>((((BS47+BX47)*CG47)+CC47)*CH47*CI47)+50</f>
        <v>426</v>
      </c>
      <c r="CL47" s="74" t="s">
        <v>257</v>
      </c>
      <c r="CM47" s="79" t="s">
        <v>151</v>
      </c>
      <c r="CN47" s="71"/>
      <c r="CO47" s="71"/>
    </row>
    <row r="48" spans="1:99" s="1" customFormat="1" x14ac:dyDescent="0.25">
      <c r="A48" s="315">
        <v>42888</v>
      </c>
      <c r="B48" s="214" t="s">
        <v>12</v>
      </c>
      <c r="C48" s="214" t="s">
        <v>2342</v>
      </c>
      <c r="D48" s="214" t="s">
        <v>54</v>
      </c>
      <c r="E48" s="214" t="s">
        <v>2343</v>
      </c>
      <c r="F48" s="176" t="s">
        <v>2344</v>
      </c>
      <c r="G48" s="176"/>
      <c r="H48" s="176"/>
      <c r="I48" s="176"/>
      <c r="J48" s="41" t="s">
        <v>2345</v>
      </c>
      <c r="K48" s="316" t="s">
        <v>2346</v>
      </c>
      <c r="L48" s="314"/>
      <c r="M48" s="314"/>
      <c r="N48" s="25"/>
      <c r="O48" s="26"/>
      <c r="P48" s="26"/>
      <c r="Q48" s="2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5" t="s">
        <v>2347</v>
      </c>
      <c r="AO48" s="33"/>
      <c r="AP48" s="25">
        <v>93060</v>
      </c>
      <c r="AQ48" s="33"/>
      <c r="AR48" s="31" t="s">
        <v>2348</v>
      </c>
      <c r="AS48" s="33"/>
      <c r="AT48" s="25" t="s">
        <v>2349</v>
      </c>
      <c r="AU48" s="314"/>
      <c r="AV48" s="314" t="s">
        <v>2350</v>
      </c>
      <c r="AW48" s="41"/>
      <c r="AX48" s="314"/>
      <c r="AY48" s="314"/>
      <c r="AZ48" s="314"/>
      <c r="BA48" s="314"/>
      <c r="BB48" s="314"/>
      <c r="BC48" s="314"/>
      <c r="BD48" s="314">
        <v>500060</v>
      </c>
      <c r="BE48" s="31"/>
      <c r="BF48" s="314"/>
      <c r="BG48" s="314"/>
      <c r="BH48" s="314"/>
      <c r="BI48" s="314"/>
      <c r="BJ48" s="314" t="s">
        <v>2351</v>
      </c>
      <c r="BK48" s="171">
        <v>48.81</v>
      </c>
      <c r="BL48" s="164" t="s">
        <v>2369</v>
      </c>
      <c r="BM48" s="164" t="s">
        <v>2370</v>
      </c>
      <c r="BN48" s="36"/>
      <c r="BO48" s="36"/>
      <c r="BP48" s="36"/>
      <c r="BQ48" s="313">
        <v>7.3</v>
      </c>
      <c r="BR48" s="313">
        <v>11.365</v>
      </c>
      <c r="BS48" s="317">
        <v>0.95</v>
      </c>
      <c r="BT48" s="481" t="s">
        <v>2371</v>
      </c>
      <c r="BU48" s="482"/>
      <c r="BV48" s="482"/>
      <c r="BW48" s="482"/>
      <c r="BX48" s="483"/>
      <c r="BY48" s="117">
        <v>11.86</v>
      </c>
      <c r="BZ48" s="117">
        <v>7.86</v>
      </c>
      <c r="CA48" s="117">
        <v>7.98</v>
      </c>
      <c r="CB48" s="117">
        <f>(CA48*BZ48*BY48)/1728</f>
        <v>0.43049329166666667</v>
      </c>
      <c r="CC48" s="318">
        <v>0.44</v>
      </c>
      <c r="CD48" s="319">
        <f>BS48</f>
        <v>0.95</v>
      </c>
      <c r="CE48" s="319">
        <f>(BS48*CG48)+CC48</f>
        <v>1.39</v>
      </c>
      <c r="CF48" s="74" t="s">
        <v>135</v>
      </c>
      <c r="CG48" s="74">
        <v>1</v>
      </c>
      <c r="CH48" s="74">
        <v>30</v>
      </c>
      <c r="CI48" s="74">
        <v>3</v>
      </c>
      <c r="CJ48" s="74">
        <f>CG48*CH48*CI48</f>
        <v>90</v>
      </c>
      <c r="CK48" s="148">
        <f>((((BS48+BX48)*CG48)+CC48)*CH48*CI48)+50</f>
        <v>175.1</v>
      </c>
      <c r="CL48" s="74" t="s">
        <v>257</v>
      </c>
      <c r="CM48" s="79" t="s">
        <v>137</v>
      </c>
      <c r="CN48" s="71"/>
      <c r="CO48" s="71"/>
    </row>
    <row r="49" spans="1:93" s="1" customFormat="1" ht="30" x14ac:dyDescent="0.25">
      <c r="A49" s="315">
        <v>42888</v>
      </c>
      <c r="B49" s="214" t="s">
        <v>12</v>
      </c>
      <c r="C49" s="214" t="s">
        <v>2352</v>
      </c>
      <c r="D49" s="214" t="s">
        <v>54</v>
      </c>
      <c r="E49" s="72" t="s">
        <v>2353</v>
      </c>
      <c r="F49" s="176" t="s">
        <v>2354</v>
      </c>
      <c r="G49" s="176"/>
      <c r="H49" s="176"/>
      <c r="I49" s="176"/>
      <c r="J49" s="41" t="s">
        <v>2355</v>
      </c>
      <c r="K49" s="314">
        <v>87404270</v>
      </c>
      <c r="L49" s="314" t="s">
        <v>109</v>
      </c>
      <c r="M49" s="314" t="s">
        <v>2356</v>
      </c>
      <c r="N49" s="25" t="s">
        <v>1826</v>
      </c>
      <c r="O49" s="26" t="s">
        <v>2357</v>
      </c>
      <c r="P49" s="26" t="s">
        <v>2358</v>
      </c>
      <c r="Q49" s="26">
        <v>961416</v>
      </c>
      <c r="R49" s="26" t="s">
        <v>895</v>
      </c>
      <c r="S49" s="26">
        <v>3013210</v>
      </c>
      <c r="T49" s="26" t="s">
        <v>270</v>
      </c>
      <c r="U49" s="26" t="s">
        <v>2359</v>
      </c>
      <c r="V49" s="26" t="s">
        <v>1834</v>
      </c>
      <c r="W49" s="26">
        <v>35123512</v>
      </c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5" t="s">
        <v>2360</v>
      </c>
      <c r="AO49" s="33"/>
      <c r="AP49" s="25">
        <v>87546</v>
      </c>
      <c r="AQ49" s="33"/>
      <c r="AR49" s="31" t="s">
        <v>2361</v>
      </c>
      <c r="AS49" s="33"/>
      <c r="AT49" s="25" t="s">
        <v>2362</v>
      </c>
      <c r="AU49" s="314" t="s">
        <v>2363</v>
      </c>
      <c r="AV49" s="314"/>
      <c r="AW49" s="41"/>
      <c r="AX49" s="314"/>
      <c r="AY49" s="314"/>
      <c r="AZ49" s="314"/>
      <c r="BA49" s="314"/>
      <c r="BB49" s="314"/>
      <c r="BC49" s="314"/>
      <c r="BD49" s="314" t="s">
        <v>2364</v>
      </c>
      <c r="BE49" s="31"/>
      <c r="BF49" s="314"/>
      <c r="BG49" s="314"/>
      <c r="BH49" s="314"/>
      <c r="BI49" s="314"/>
      <c r="BJ49" s="314" t="s">
        <v>2365</v>
      </c>
      <c r="BK49" s="171">
        <v>175.63</v>
      </c>
      <c r="BL49" s="164" t="s">
        <v>2372</v>
      </c>
      <c r="BM49" s="164" t="s">
        <v>2373</v>
      </c>
      <c r="BN49" s="36"/>
      <c r="BO49" s="36"/>
      <c r="BP49" s="36"/>
      <c r="BQ49" s="313">
        <v>12.75</v>
      </c>
      <c r="BR49" s="313">
        <v>24.06</v>
      </c>
      <c r="BS49" s="317">
        <v>9.3800000000000008</v>
      </c>
      <c r="BT49" s="481" t="s">
        <v>2371</v>
      </c>
      <c r="BU49" s="482"/>
      <c r="BV49" s="482"/>
      <c r="BW49" s="482"/>
      <c r="BX49" s="483"/>
      <c r="BY49" s="117">
        <v>25.52</v>
      </c>
      <c r="BZ49" s="117">
        <v>14.22</v>
      </c>
      <c r="CA49" s="117">
        <v>14.56</v>
      </c>
      <c r="CB49" s="117">
        <f>(CA49*BZ49*BY49)/1728</f>
        <v>3.0577213333333333</v>
      </c>
      <c r="CC49" s="318">
        <v>2.75</v>
      </c>
      <c r="CD49" s="319">
        <f>BS49</f>
        <v>9.3800000000000008</v>
      </c>
      <c r="CE49" s="319">
        <f>(BS49*CG49)+CC49</f>
        <v>12.13</v>
      </c>
      <c r="CF49" s="74" t="s">
        <v>135</v>
      </c>
      <c r="CG49" s="74">
        <v>1</v>
      </c>
      <c r="CH49" s="74">
        <v>6</v>
      </c>
      <c r="CI49" s="74">
        <v>1</v>
      </c>
      <c r="CJ49" s="74">
        <f>CG49*CH49*CI49</f>
        <v>6</v>
      </c>
      <c r="CK49" s="148">
        <f>((((BS49+BX49)*CG49)+CC49)*CH49*CI49)+50</f>
        <v>122.78</v>
      </c>
      <c r="CL49" s="74" t="s">
        <v>257</v>
      </c>
      <c r="CM49" s="79" t="s">
        <v>137</v>
      </c>
      <c r="CN49" s="71"/>
      <c r="CO49" s="71"/>
    </row>
    <row r="50" spans="1:93" s="1" customFormat="1" x14ac:dyDescent="0.25">
      <c r="A50" s="88">
        <v>42781</v>
      </c>
      <c r="B50" s="170" t="s">
        <v>12</v>
      </c>
      <c r="C50" s="170" t="s">
        <v>2260</v>
      </c>
      <c r="D50" s="170" t="s">
        <v>106</v>
      </c>
      <c r="E50" s="170" t="s">
        <v>301</v>
      </c>
      <c r="F50" s="176" t="s">
        <v>2261</v>
      </c>
      <c r="G50" s="176"/>
      <c r="H50" s="176"/>
      <c r="I50" s="176"/>
      <c r="J50" s="41" t="s">
        <v>334</v>
      </c>
      <c r="K50" s="25" t="s">
        <v>2262</v>
      </c>
      <c r="L50" s="306"/>
      <c r="M50" s="306"/>
      <c r="N50" s="25"/>
      <c r="O50" s="26"/>
      <c r="P50" s="26"/>
      <c r="Q50" s="2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5"/>
      <c r="AO50" s="33"/>
      <c r="AP50" s="25"/>
      <c r="AQ50" s="33"/>
      <c r="AR50" s="31"/>
      <c r="AS50" s="33"/>
      <c r="AT50" s="25"/>
      <c r="AU50" s="306"/>
      <c r="AV50" s="306"/>
      <c r="AW50" s="41"/>
      <c r="AX50" s="306" t="s">
        <v>2263</v>
      </c>
      <c r="AY50" s="306"/>
      <c r="AZ50" s="306"/>
      <c r="BA50" s="306"/>
      <c r="BB50" s="306"/>
      <c r="BC50" s="306"/>
      <c r="BD50" s="306"/>
      <c r="BE50" s="31"/>
      <c r="BF50" s="306"/>
      <c r="BG50" s="306"/>
      <c r="BH50" s="306"/>
      <c r="BI50" s="306"/>
      <c r="BJ50" s="306" t="s">
        <v>2264</v>
      </c>
      <c r="BK50" s="312">
        <v>34.47</v>
      </c>
      <c r="BL50" s="311" t="s">
        <v>2321</v>
      </c>
      <c r="BM50" s="311" t="s">
        <v>2322</v>
      </c>
      <c r="BN50" s="276">
        <v>9.17</v>
      </c>
      <c r="BO50" s="276">
        <v>5.57</v>
      </c>
      <c r="BP50" s="276">
        <v>2.2200000000000002</v>
      </c>
      <c r="BQ50" s="165"/>
      <c r="BR50" s="165"/>
      <c r="BS50" s="277">
        <v>0.39</v>
      </c>
      <c r="BT50" s="278">
        <v>7.0359999999999996</v>
      </c>
      <c r="BU50" s="278">
        <v>2.536</v>
      </c>
      <c r="BV50" s="278">
        <v>11.821999999999999</v>
      </c>
      <c r="BW50" s="279">
        <v>0.12207375307407406</v>
      </c>
      <c r="BX50" s="277">
        <v>0.19</v>
      </c>
      <c r="BY50" s="280">
        <v>12.25</v>
      </c>
      <c r="BZ50" s="280">
        <v>7.5</v>
      </c>
      <c r="CA50" s="280">
        <v>8.5</v>
      </c>
      <c r="CB50" s="280">
        <v>0.4519314236111111</v>
      </c>
      <c r="CC50" s="284">
        <v>0.44</v>
      </c>
      <c r="CD50" s="284">
        <v>0.58000000000000007</v>
      </c>
      <c r="CE50" s="284">
        <v>2.1800000000000002</v>
      </c>
      <c r="CF50" s="249" t="s">
        <v>135</v>
      </c>
      <c r="CG50" s="306">
        <v>3</v>
      </c>
      <c r="CH50" s="306">
        <v>20</v>
      </c>
      <c r="CI50" s="306">
        <v>5</v>
      </c>
      <c r="CJ50" s="154">
        <v>300</v>
      </c>
      <c r="CK50" s="282">
        <v>268</v>
      </c>
      <c r="CL50" s="154" t="s">
        <v>140</v>
      </c>
      <c r="CM50" s="251" t="s">
        <v>137</v>
      </c>
      <c r="CN50" s="71"/>
      <c r="CO50" s="71"/>
    </row>
    <row r="51" spans="1:93" s="1" customFormat="1" ht="30" x14ac:dyDescent="0.25">
      <c r="A51" s="88">
        <v>42781</v>
      </c>
      <c r="B51" s="170" t="s">
        <v>12</v>
      </c>
      <c r="C51" s="170" t="s">
        <v>2265</v>
      </c>
      <c r="D51" s="170" t="s">
        <v>106</v>
      </c>
      <c r="E51" s="170" t="s">
        <v>358</v>
      </c>
      <c r="F51" s="176" t="s">
        <v>2266</v>
      </c>
      <c r="G51" s="176"/>
      <c r="H51" s="176"/>
      <c r="I51" s="176"/>
      <c r="J51" s="41" t="s">
        <v>270</v>
      </c>
      <c r="K51" s="25" t="s">
        <v>2267</v>
      </c>
      <c r="L51" s="306"/>
      <c r="M51" s="306"/>
      <c r="N51" s="25"/>
      <c r="O51" s="26"/>
      <c r="P51" s="26"/>
      <c r="Q51" s="2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5"/>
      <c r="AO51" s="33"/>
      <c r="AP51" s="25"/>
      <c r="AQ51" s="33"/>
      <c r="AR51" s="31"/>
      <c r="AS51" s="33"/>
      <c r="AT51" s="25"/>
      <c r="AU51" s="306" t="s">
        <v>2268</v>
      </c>
      <c r="AV51" s="306"/>
      <c r="AW51" s="41"/>
      <c r="AX51" s="306"/>
      <c r="AY51" s="306"/>
      <c r="AZ51" s="306"/>
      <c r="BA51" s="306"/>
      <c r="BB51" s="306"/>
      <c r="BC51" s="306"/>
      <c r="BD51" s="306"/>
      <c r="BE51" s="31"/>
      <c r="BF51" s="306" t="s">
        <v>2269</v>
      </c>
      <c r="BG51" s="306" t="s">
        <v>2270</v>
      </c>
      <c r="BH51" s="306"/>
      <c r="BI51" s="306"/>
      <c r="BJ51" s="306" t="s">
        <v>2271</v>
      </c>
      <c r="BK51" s="312">
        <v>13.6</v>
      </c>
      <c r="BL51" s="311" t="s">
        <v>2323</v>
      </c>
      <c r="BM51" s="311" t="s">
        <v>2324</v>
      </c>
      <c r="BN51" s="276">
        <v>10.27</v>
      </c>
      <c r="BO51" s="276">
        <v>6.65</v>
      </c>
      <c r="BP51" s="276">
        <v>2.06</v>
      </c>
      <c r="BQ51" s="165"/>
      <c r="BR51" s="165"/>
      <c r="BS51" s="277">
        <v>1.01</v>
      </c>
      <c r="BT51" s="278">
        <v>9.17</v>
      </c>
      <c r="BU51" s="278">
        <v>2.4369999999999998</v>
      </c>
      <c r="BV51" s="278">
        <v>11.803999999999998</v>
      </c>
      <c r="BW51" s="279">
        <v>0.15265475182870367</v>
      </c>
      <c r="BX51" s="277">
        <v>0.1</v>
      </c>
      <c r="BY51" s="280">
        <v>15.407</v>
      </c>
      <c r="BZ51" s="280">
        <v>12.651</v>
      </c>
      <c r="CA51" s="280">
        <v>10.146000000000001</v>
      </c>
      <c r="CB51" s="280">
        <v>1.1444427128020833</v>
      </c>
      <c r="CC51" s="284">
        <v>0.25</v>
      </c>
      <c r="CD51" s="284">
        <v>1.1100000000000001</v>
      </c>
      <c r="CE51" s="284">
        <v>6.91</v>
      </c>
      <c r="CF51" s="249" t="s">
        <v>135</v>
      </c>
      <c r="CG51" s="306">
        <v>6</v>
      </c>
      <c r="CH51" s="306">
        <v>10</v>
      </c>
      <c r="CI51" s="306">
        <v>3</v>
      </c>
      <c r="CJ51" s="154">
        <v>180</v>
      </c>
      <c r="CK51" s="282">
        <v>257.29999999999995</v>
      </c>
      <c r="CL51" s="154" t="s">
        <v>140</v>
      </c>
      <c r="CM51" s="251" t="s">
        <v>137</v>
      </c>
      <c r="CN51" s="71"/>
      <c r="CO51" s="71"/>
    </row>
    <row r="52" spans="1:93" s="1" customFormat="1" x14ac:dyDescent="0.25">
      <c r="A52" s="88">
        <v>42781</v>
      </c>
      <c r="B52" s="170" t="s">
        <v>12</v>
      </c>
      <c r="C52" s="170" t="s">
        <v>2272</v>
      </c>
      <c r="D52" s="170" t="s">
        <v>106</v>
      </c>
      <c r="E52" s="170" t="s">
        <v>101</v>
      </c>
      <c r="F52" s="176" t="s">
        <v>2273</v>
      </c>
      <c r="G52" s="176"/>
      <c r="H52" s="176"/>
      <c r="I52" s="176"/>
      <c r="J52" s="41" t="s">
        <v>270</v>
      </c>
      <c r="K52" s="306" t="s">
        <v>2274</v>
      </c>
      <c r="L52" s="306"/>
      <c r="M52" s="306"/>
      <c r="N52" s="25"/>
      <c r="O52" s="26"/>
      <c r="P52" s="26"/>
      <c r="Q52" s="2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5"/>
      <c r="AO52" s="33"/>
      <c r="AP52" s="25"/>
      <c r="AQ52" s="33"/>
      <c r="AR52" s="31"/>
      <c r="AS52" s="33"/>
      <c r="AT52" s="25"/>
      <c r="AU52" s="306"/>
      <c r="AV52" s="306"/>
      <c r="AW52" s="41"/>
      <c r="AX52" s="306"/>
      <c r="AY52" s="306"/>
      <c r="AZ52" s="306"/>
      <c r="BA52" s="306"/>
      <c r="BB52" s="306"/>
      <c r="BC52" s="306"/>
      <c r="BD52" s="306"/>
      <c r="BE52" s="31"/>
      <c r="BF52" s="306" t="s">
        <v>2272</v>
      </c>
      <c r="BG52" s="306" t="s">
        <v>2275</v>
      </c>
      <c r="BH52" s="306"/>
      <c r="BI52" s="306"/>
      <c r="BJ52" s="306" t="s">
        <v>2276</v>
      </c>
      <c r="BK52" s="312">
        <v>18.16</v>
      </c>
      <c r="BL52" s="311" t="s">
        <v>2325</v>
      </c>
      <c r="BM52" s="311" t="s">
        <v>2326</v>
      </c>
      <c r="BN52" s="276">
        <v>8.9</v>
      </c>
      <c r="BO52" s="276">
        <v>7.64</v>
      </c>
      <c r="BP52" s="276">
        <v>1.18</v>
      </c>
      <c r="BQ52" s="165"/>
      <c r="BR52" s="165"/>
      <c r="BS52" s="277">
        <v>0.14000000000000001</v>
      </c>
      <c r="BT52" s="278">
        <v>8.3170000000000002</v>
      </c>
      <c r="BU52" s="278">
        <v>1.411</v>
      </c>
      <c r="BV52" s="278">
        <v>11.321999999999999</v>
      </c>
      <c r="BW52" s="279">
        <v>7.6890578364583337E-2</v>
      </c>
      <c r="BX52" s="277">
        <v>0.12</v>
      </c>
      <c r="BY52" s="280">
        <v>11.87</v>
      </c>
      <c r="BZ52" s="280">
        <v>9</v>
      </c>
      <c r="CA52" s="280">
        <v>9</v>
      </c>
      <c r="CB52" s="280">
        <v>0.55640624999999999</v>
      </c>
      <c r="CC52" s="284">
        <v>0.53</v>
      </c>
      <c r="CD52" s="284">
        <v>0.26</v>
      </c>
      <c r="CE52" s="284">
        <v>2.09</v>
      </c>
      <c r="CF52" s="249" t="s">
        <v>135</v>
      </c>
      <c r="CG52" s="306">
        <v>6</v>
      </c>
      <c r="CH52" s="306">
        <v>17</v>
      </c>
      <c r="CI52" s="306">
        <v>5</v>
      </c>
      <c r="CJ52" s="154">
        <v>510</v>
      </c>
      <c r="CK52" s="282">
        <v>227.65</v>
      </c>
      <c r="CL52" s="154" t="s">
        <v>140</v>
      </c>
      <c r="CM52" s="251" t="s">
        <v>137</v>
      </c>
      <c r="CN52" s="71"/>
      <c r="CO52" s="71"/>
    </row>
    <row r="53" spans="1:93" s="1" customFormat="1" ht="30" x14ac:dyDescent="0.25">
      <c r="A53" s="88">
        <v>42781</v>
      </c>
      <c r="B53" s="170" t="s">
        <v>12</v>
      </c>
      <c r="C53" s="170" t="s">
        <v>2277</v>
      </c>
      <c r="D53" s="170" t="s">
        <v>106</v>
      </c>
      <c r="E53" s="170" t="s">
        <v>101</v>
      </c>
      <c r="F53" s="176" t="s">
        <v>2046</v>
      </c>
      <c r="G53" s="176"/>
      <c r="H53" s="176"/>
      <c r="I53" s="176"/>
      <c r="J53" s="41" t="s">
        <v>2047</v>
      </c>
      <c r="K53" s="25" t="s">
        <v>2278</v>
      </c>
      <c r="L53" s="306"/>
      <c r="M53" s="306"/>
      <c r="N53" s="25"/>
      <c r="O53" s="26"/>
      <c r="P53" s="26"/>
      <c r="Q53" s="2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5"/>
      <c r="AO53" s="33"/>
      <c r="AP53" s="25"/>
      <c r="AQ53" s="33"/>
      <c r="AR53" s="31"/>
      <c r="AS53" s="33"/>
      <c r="AT53" s="25"/>
      <c r="AU53" s="306"/>
      <c r="AV53" s="306"/>
      <c r="AW53" s="41"/>
      <c r="AX53" s="306"/>
      <c r="AY53" s="306"/>
      <c r="AZ53" s="306"/>
      <c r="BA53" s="306"/>
      <c r="BB53" s="306"/>
      <c r="BC53" s="306"/>
      <c r="BD53" s="306"/>
      <c r="BE53" s="31" t="s">
        <v>2279</v>
      </c>
      <c r="BF53" s="306"/>
      <c r="BG53" s="306" t="s">
        <v>2280</v>
      </c>
      <c r="BH53" s="306"/>
      <c r="BI53" s="306"/>
      <c r="BJ53" s="306" t="s">
        <v>2281</v>
      </c>
      <c r="BK53" s="312">
        <v>19.18</v>
      </c>
      <c r="BL53" s="311" t="s">
        <v>2327</v>
      </c>
      <c r="BM53" s="311" t="s">
        <v>2328</v>
      </c>
      <c r="BN53" s="276">
        <v>10</v>
      </c>
      <c r="BO53" s="276">
        <v>9.25</v>
      </c>
      <c r="BP53" s="276">
        <v>1.26</v>
      </c>
      <c r="BQ53" s="165"/>
      <c r="BR53" s="165"/>
      <c r="BS53" s="277">
        <v>0.65</v>
      </c>
      <c r="BT53" s="278" t="s">
        <v>2329</v>
      </c>
      <c r="BU53" s="278"/>
      <c r="BV53" s="278"/>
      <c r="BW53" s="279"/>
      <c r="BX53" s="277"/>
      <c r="BY53" s="280">
        <v>12.75</v>
      </c>
      <c r="BZ53" s="280">
        <v>4.75</v>
      </c>
      <c r="CA53" s="280">
        <v>11.5</v>
      </c>
      <c r="CB53" s="280">
        <v>0.4030490451388889</v>
      </c>
      <c r="CC53" s="284">
        <v>0.4</v>
      </c>
      <c r="CD53" s="284">
        <v>0.65</v>
      </c>
      <c r="CE53" s="284">
        <v>2.35</v>
      </c>
      <c r="CF53" s="249" t="s">
        <v>135</v>
      </c>
      <c r="CG53" s="306">
        <v>3</v>
      </c>
      <c r="CH53" s="306">
        <v>12</v>
      </c>
      <c r="CI53" s="306">
        <v>9</v>
      </c>
      <c r="CJ53" s="154">
        <v>324</v>
      </c>
      <c r="CK53" s="282">
        <v>303.8</v>
      </c>
      <c r="CL53" s="154" t="s">
        <v>140</v>
      </c>
      <c r="CM53" s="251" t="s">
        <v>137</v>
      </c>
      <c r="CN53" s="71"/>
      <c r="CO53" s="71"/>
    </row>
    <row r="54" spans="1:93" s="1" customFormat="1" x14ac:dyDescent="0.25">
      <c r="A54" s="88">
        <v>42781</v>
      </c>
      <c r="B54" s="170" t="s">
        <v>12</v>
      </c>
      <c r="C54" s="170" t="s">
        <v>2282</v>
      </c>
      <c r="D54" s="170" t="s">
        <v>106</v>
      </c>
      <c r="E54" s="170" t="s">
        <v>101</v>
      </c>
      <c r="F54" s="176" t="s">
        <v>2283</v>
      </c>
      <c r="G54" s="176"/>
      <c r="H54" s="176"/>
      <c r="I54" s="176"/>
      <c r="J54" s="41" t="s">
        <v>400</v>
      </c>
      <c r="K54" s="25" t="s">
        <v>2284</v>
      </c>
      <c r="L54" s="306"/>
      <c r="M54" s="306"/>
      <c r="N54" s="25"/>
      <c r="O54" s="26"/>
      <c r="P54" s="26"/>
      <c r="Q54" s="2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5"/>
      <c r="AO54" s="33"/>
      <c r="AP54" s="25"/>
      <c r="AQ54" s="33"/>
      <c r="AR54" s="31"/>
      <c r="AS54" s="33"/>
      <c r="AT54" s="25"/>
      <c r="AU54" s="306"/>
      <c r="AV54" s="306"/>
      <c r="AW54" s="41"/>
      <c r="AX54" s="306"/>
      <c r="AY54" s="306"/>
      <c r="AZ54" s="306"/>
      <c r="BA54" s="306"/>
      <c r="BB54" s="306"/>
      <c r="BC54" s="306"/>
      <c r="BD54" s="306"/>
      <c r="BE54" s="31"/>
      <c r="BF54" s="306"/>
      <c r="BG54" s="306" t="s">
        <v>2285</v>
      </c>
      <c r="BH54" s="306"/>
      <c r="BI54" s="306"/>
      <c r="BJ54" s="306"/>
      <c r="BK54" s="312">
        <v>11.49</v>
      </c>
      <c r="BL54" s="311" t="s">
        <v>2330</v>
      </c>
      <c r="BM54" s="311" t="s">
        <v>2331</v>
      </c>
      <c r="BN54" s="276">
        <v>8.5</v>
      </c>
      <c r="BO54" s="276">
        <v>7.25</v>
      </c>
      <c r="BP54" s="276">
        <v>1.1200000000000001</v>
      </c>
      <c r="BQ54" s="165"/>
      <c r="BR54" s="165"/>
      <c r="BS54" s="277">
        <v>0.09</v>
      </c>
      <c r="BT54" s="278">
        <v>8.1760000000000002</v>
      </c>
      <c r="BU54" s="278">
        <v>1.486</v>
      </c>
      <c r="BV54" s="278">
        <v>9.081999999999999</v>
      </c>
      <c r="BW54" s="279">
        <v>6.3855373814814806E-2</v>
      </c>
      <c r="BX54" s="277">
        <v>0.12</v>
      </c>
      <c r="BY54" s="280">
        <v>10</v>
      </c>
      <c r="BZ54" s="280">
        <v>9.75</v>
      </c>
      <c r="CA54" s="280">
        <v>5.12</v>
      </c>
      <c r="CB54" s="280">
        <v>0.28888888888888892</v>
      </c>
      <c r="CC54" s="284">
        <v>0.34</v>
      </c>
      <c r="CD54" s="284">
        <v>0.21</v>
      </c>
      <c r="CE54" s="284">
        <v>0.97</v>
      </c>
      <c r="CF54" s="249" t="s">
        <v>135</v>
      </c>
      <c r="CG54" s="306">
        <v>3</v>
      </c>
      <c r="CH54" s="306">
        <v>16</v>
      </c>
      <c r="CI54" s="306">
        <v>8</v>
      </c>
      <c r="CJ54" s="154">
        <v>384</v>
      </c>
      <c r="CK54" s="282">
        <v>174.16</v>
      </c>
      <c r="CL54" s="154" t="s">
        <v>257</v>
      </c>
      <c r="CM54" s="251" t="s">
        <v>137</v>
      </c>
      <c r="CN54" s="71"/>
      <c r="CO54" s="71"/>
    </row>
    <row r="55" spans="1:93" s="1" customFormat="1" x14ac:dyDescent="0.25">
      <c r="A55" s="88">
        <v>42781</v>
      </c>
      <c r="B55" s="170" t="s">
        <v>12</v>
      </c>
      <c r="C55" s="170" t="s">
        <v>2286</v>
      </c>
      <c r="D55" s="170" t="s">
        <v>106</v>
      </c>
      <c r="E55" s="170" t="s">
        <v>358</v>
      </c>
      <c r="F55" s="176" t="s">
        <v>2287</v>
      </c>
      <c r="G55" s="176"/>
      <c r="H55" s="176"/>
      <c r="I55" s="176"/>
      <c r="J55" s="41" t="s">
        <v>236</v>
      </c>
      <c r="K55" s="25" t="s">
        <v>2288</v>
      </c>
      <c r="L55" s="306"/>
      <c r="M55" s="306"/>
      <c r="N55" s="25"/>
      <c r="O55" s="26"/>
      <c r="P55" s="26"/>
      <c r="Q55" s="2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5"/>
      <c r="AO55" s="33"/>
      <c r="AP55" s="25">
        <v>93644</v>
      </c>
      <c r="AQ55" s="33" t="s">
        <v>2286</v>
      </c>
      <c r="AR55" s="31"/>
      <c r="AS55" s="33"/>
      <c r="AT55" s="25"/>
      <c r="AU55" s="306" t="s">
        <v>2289</v>
      </c>
      <c r="AV55" s="306"/>
      <c r="AW55" s="41"/>
      <c r="AX55" s="306" t="s">
        <v>2290</v>
      </c>
      <c r="AY55" s="306"/>
      <c r="AZ55" s="306"/>
      <c r="BA55" s="306"/>
      <c r="BB55" s="306"/>
      <c r="BC55" s="306"/>
      <c r="BD55" s="306">
        <v>200269</v>
      </c>
      <c r="BE55" s="31" t="s">
        <v>2291</v>
      </c>
      <c r="BF55" s="306"/>
      <c r="BG55" s="306" t="s">
        <v>2292</v>
      </c>
      <c r="BH55" s="306" t="s">
        <v>2293</v>
      </c>
      <c r="BI55" s="306"/>
      <c r="BJ55" s="306" t="s">
        <v>2294</v>
      </c>
      <c r="BK55" s="312">
        <v>20.260000000000002</v>
      </c>
      <c r="BL55" s="311" t="s">
        <v>2332</v>
      </c>
      <c r="BM55" s="311" t="s">
        <v>2333</v>
      </c>
      <c r="BN55" s="276">
        <v>10.904999999999999</v>
      </c>
      <c r="BO55" s="276">
        <v>7.4409999999999998</v>
      </c>
      <c r="BP55" s="276">
        <v>1.929</v>
      </c>
      <c r="BQ55" s="165"/>
      <c r="BR55" s="165"/>
      <c r="BS55" s="277">
        <v>0.67</v>
      </c>
      <c r="BT55" s="278">
        <v>7.6359999999999992</v>
      </c>
      <c r="BU55" s="278">
        <v>2.1259999999999999</v>
      </c>
      <c r="BV55" s="278">
        <v>11.132</v>
      </c>
      <c r="BW55" s="279">
        <v>0.10458240853703701</v>
      </c>
      <c r="BX55" s="277">
        <v>0.15</v>
      </c>
      <c r="BY55" s="280">
        <v>13</v>
      </c>
      <c r="BZ55" s="280">
        <v>11.47</v>
      </c>
      <c r="CA55" s="280">
        <v>8.5</v>
      </c>
      <c r="CB55" s="280">
        <v>0.73346932870370363</v>
      </c>
      <c r="CC55" s="284">
        <v>0.65</v>
      </c>
      <c r="CD55" s="284">
        <v>0.82000000000000006</v>
      </c>
      <c r="CE55" s="284">
        <v>5.57</v>
      </c>
      <c r="CF55" s="249" t="s">
        <v>135</v>
      </c>
      <c r="CG55" s="306">
        <v>6</v>
      </c>
      <c r="CH55" s="306">
        <v>12</v>
      </c>
      <c r="CI55" s="306">
        <v>5</v>
      </c>
      <c r="CJ55" s="154">
        <v>360</v>
      </c>
      <c r="CK55" s="282">
        <v>384.20000000000005</v>
      </c>
      <c r="CL55" s="154" t="s">
        <v>136</v>
      </c>
      <c r="CM55" s="251" t="s">
        <v>137</v>
      </c>
      <c r="CN55" s="71"/>
      <c r="CO55" s="71"/>
    </row>
    <row r="56" spans="1:93" s="1" customFormat="1" x14ac:dyDescent="0.25">
      <c r="A56" s="88">
        <v>42781</v>
      </c>
      <c r="B56" s="170" t="s">
        <v>12</v>
      </c>
      <c r="C56" s="170" t="s">
        <v>2295</v>
      </c>
      <c r="D56" s="170" t="s">
        <v>106</v>
      </c>
      <c r="E56" s="170" t="s">
        <v>2150</v>
      </c>
      <c r="F56" s="176" t="s">
        <v>2296</v>
      </c>
      <c r="G56" s="176"/>
      <c r="H56" s="176"/>
      <c r="I56" s="176"/>
      <c r="J56" s="41" t="s">
        <v>279</v>
      </c>
      <c r="K56" s="25" t="s">
        <v>2297</v>
      </c>
      <c r="L56" s="306"/>
      <c r="M56" s="306"/>
      <c r="N56" s="25"/>
      <c r="O56" s="26"/>
      <c r="P56" s="26"/>
      <c r="Q56" s="2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5"/>
      <c r="AO56" s="33"/>
      <c r="AP56" s="25">
        <v>86831</v>
      </c>
      <c r="AQ56" s="33" t="s">
        <v>2295</v>
      </c>
      <c r="AR56" s="31"/>
      <c r="AS56" s="33"/>
      <c r="AT56" s="25"/>
      <c r="AU56" s="306" t="s">
        <v>2298</v>
      </c>
      <c r="AV56" s="306" t="s">
        <v>2299</v>
      </c>
      <c r="AW56" s="41" t="s">
        <v>2300</v>
      </c>
      <c r="AX56" s="306"/>
      <c r="AY56" s="306" t="s">
        <v>2301</v>
      </c>
      <c r="AZ56" s="306"/>
      <c r="BA56" s="306" t="s">
        <v>2302</v>
      </c>
      <c r="BB56" s="306"/>
      <c r="BC56" s="306"/>
      <c r="BD56" s="306">
        <v>3831</v>
      </c>
      <c r="BE56" s="31"/>
      <c r="BF56" s="306"/>
      <c r="BG56" s="306">
        <v>59182</v>
      </c>
      <c r="BH56" s="306"/>
      <c r="BI56" s="306"/>
      <c r="BJ56" s="306">
        <v>33831</v>
      </c>
      <c r="BK56" s="312">
        <v>34.18</v>
      </c>
      <c r="BL56" s="311" t="s">
        <v>2334</v>
      </c>
      <c r="BM56" s="311" t="s">
        <v>2335</v>
      </c>
      <c r="BN56" s="276"/>
      <c r="BO56" s="276"/>
      <c r="BP56" s="276"/>
      <c r="BQ56" s="165">
        <v>2.93</v>
      </c>
      <c r="BR56" s="165">
        <v>6.94</v>
      </c>
      <c r="BS56" s="277">
        <v>0.61</v>
      </c>
      <c r="BT56" s="278">
        <v>3.8460000000000001</v>
      </c>
      <c r="BU56" s="278">
        <v>3.8479999999999999</v>
      </c>
      <c r="BV56" s="278">
        <v>8.0719999999999992</v>
      </c>
      <c r="BW56" s="279">
        <v>6.9132419777777773E-2</v>
      </c>
      <c r="BX56" s="277">
        <v>0.09</v>
      </c>
      <c r="BY56" s="280">
        <v>15.81</v>
      </c>
      <c r="BZ56" s="280">
        <v>11.93</v>
      </c>
      <c r="CA56" s="280">
        <v>8.6199999999999992</v>
      </c>
      <c r="CB56" s="280">
        <v>0.94088347569444442</v>
      </c>
      <c r="CC56" s="284">
        <v>0.87</v>
      </c>
      <c r="CD56" s="284">
        <v>0.7</v>
      </c>
      <c r="CE56" s="284">
        <v>9.2699999999999978</v>
      </c>
      <c r="CF56" s="249" t="s">
        <v>135</v>
      </c>
      <c r="CG56" s="306">
        <v>12</v>
      </c>
      <c r="CH56" s="306">
        <v>10</v>
      </c>
      <c r="CI56" s="306">
        <v>5</v>
      </c>
      <c r="CJ56" s="154">
        <v>600</v>
      </c>
      <c r="CK56" s="282">
        <v>513.49999999999989</v>
      </c>
      <c r="CL56" s="154" t="s">
        <v>140</v>
      </c>
      <c r="CM56" s="251" t="s">
        <v>151</v>
      </c>
      <c r="CN56" s="71"/>
      <c r="CO56" s="71"/>
    </row>
    <row r="57" spans="1:93" s="1" customFormat="1" x14ac:dyDescent="0.25">
      <c r="A57" s="88">
        <v>42781</v>
      </c>
      <c r="B57" s="170" t="s">
        <v>12</v>
      </c>
      <c r="C57" s="170" t="s">
        <v>2303</v>
      </c>
      <c r="D57" s="170" t="s">
        <v>106</v>
      </c>
      <c r="E57" s="170" t="s">
        <v>358</v>
      </c>
      <c r="F57" s="176" t="s">
        <v>2304</v>
      </c>
      <c r="G57" s="176"/>
      <c r="H57" s="176"/>
      <c r="I57" s="176"/>
      <c r="J57" s="41" t="s">
        <v>674</v>
      </c>
      <c r="K57" s="25" t="s">
        <v>2305</v>
      </c>
      <c r="L57" s="306"/>
      <c r="M57" s="306"/>
      <c r="N57" s="25"/>
      <c r="O57" s="26"/>
      <c r="P57" s="26"/>
      <c r="Q57" s="2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5" t="s">
        <v>2306</v>
      </c>
      <c r="AO57" s="33"/>
      <c r="AP57" s="25">
        <v>93058</v>
      </c>
      <c r="AQ57" s="33"/>
      <c r="AR57" s="31"/>
      <c r="AS57" s="33"/>
      <c r="AT57" s="25"/>
      <c r="AU57" s="306" t="s">
        <v>2307</v>
      </c>
      <c r="AV57" s="306" t="s">
        <v>2308</v>
      </c>
      <c r="AW57" s="41"/>
      <c r="AX57" s="306"/>
      <c r="AY57" s="306"/>
      <c r="AZ57" s="306"/>
      <c r="BA57" s="306" t="s">
        <v>2309</v>
      </c>
      <c r="BB57" s="306" t="s">
        <v>2303</v>
      </c>
      <c r="BC57" s="306"/>
      <c r="BD57" s="306">
        <v>200058</v>
      </c>
      <c r="BE57" s="31"/>
      <c r="BF57" s="306"/>
      <c r="BG57" s="306" t="s">
        <v>2310</v>
      </c>
      <c r="BH57" s="306"/>
      <c r="BI57" s="306"/>
      <c r="BJ57" s="306" t="s">
        <v>2311</v>
      </c>
      <c r="BK57" s="312">
        <v>23.43</v>
      </c>
      <c r="BL57" s="311" t="s">
        <v>2336</v>
      </c>
      <c r="BM57" s="311" t="s">
        <v>2337</v>
      </c>
      <c r="BN57" s="276">
        <v>10.14</v>
      </c>
      <c r="BO57" s="276">
        <v>8.11</v>
      </c>
      <c r="BP57" s="276">
        <v>2.0099999999999998</v>
      </c>
      <c r="BQ57" s="165"/>
      <c r="BR57" s="165"/>
      <c r="BS57" s="277">
        <v>0.62</v>
      </c>
      <c r="BT57" s="278">
        <v>8.5359999999999996</v>
      </c>
      <c r="BU57" s="278">
        <v>2.4060000000000001</v>
      </c>
      <c r="BV57" s="278">
        <v>10.691999999999998</v>
      </c>
      <c r="BW57" s="279">
        <v>0.12707649899999998</v>
      </c>
      <c r="BX57" s="277">
        <v>0.2</v>
      </c>
      <c r="BY57" s="280">
        <v>15</v>
      </c>
      <c r="BZ57" s="280">
        <v>11.25</v>
      </c>
      <c r="CA57" s="280">
        <v>9.3800000000000008</v>
      </c>
      <c r="CB57" s="280">
        <v>0.916015625</v>
      </c>
      <c r="CC57" s="284">
        <v>0.78</v>
      </c>
      <c r="CD57" s="284">
        <v>0.82000000000000006</v>
      </c>
      <c r="CE57" s="284">
        <v>5.7</v>
      </c>
      <c r="CF57" s="249" t="s">
        <v>135</v>
      </c>
      <c r="CG57" s="306">
        <v>6</v>
      </c>
      <c r="CH57" s="306">
        <v>10</v>
      </c>
      <c r="CI57" s="306">
        <v>4</v>
      </c>
      <c r="CJ57" s="154">
        <v>240</v>
      </c>
      <c r="CK57" s="282">
        <v>278</v>
      </c>
      <c r="CL57" s="154" t="s">
        <v>140</v>
      </c>
      <c r="CM57" s="251" t="s">
        <v>137</v>
      </c>
      <c r="CN57" s="71"/>
      <c r="CO57" s="71"/>
    </row>
    <row r="58" spans="1:93" s="1" customFormat="1" x14ac:dyDescent="0.25">
      <c r="A58" s="88">
        <v>42781</v>
      </c>
      <c r="B58" s="170" t="s">
        <v>12</v>
      </c>
      <c r="C58" s="170" t="s">
        <v>2312</v>
      </c>
      <c r="D58" s="170" t="s">
        <v>106</v>
      </c>
      <c r="E58" s="170" t="s">
        <v>301</v>
      </c>
      <c r="F58" s="176" t="s">
        <v>2313</v>
      </c>
      <c r="G58" s="176"/>
      <c r="H58" s="176"/>
      <c r="I58" s="176"/>
      <c r="J58" s="41" t="s">
        <v>91</v>
      </c>
      <c r="K58" s="25" t="s">
        <v>2314</v>
      </c>
      <c r="L58" s="306"/>
      <c r="M58" s="306"/>
      <c r="N58" s="25"/>
      <c r="O58" s="26"/>
      <c r="P58" s="26"/>
      <c r="Q58" s="2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5"/>
      <c r="AO58" s="33"/>
      <c r="AP58" s="25"/>
      <c r="AQ58" s="33"/>
      <c r="AR58" s="31"/>
      <c r="AS58" s="33"/>
      <c r="AT58" s="25"/>
      <c r="AU58" s="306" t="s">
        <v>2315</v>
      </c>
      <c r="AV58" s="306"/>
      <c r="AW58" s="41"/>
      <c r="AX58" s="306" t="s">
        <v>2316</v>
      </c>
      <c r="AY58" s="306"/>
      <c r="AZ58" s="306"/>
      <c r="BA58" s="306"/>
      <c r="BB58" s="306" t="s">
        <v>2312</v>
      </c>
      <c r="BC58" s="306"/>
      <c r="BD58" s="306">
        <v>200427</v>
      </c>
      <c r="BE58" s="31" t="s">
        <v>2317</v>
      </c>
      <c r="BF58" s="306" t="s">
        <v>2318</v>
      </c>
      <c r="BG58" s="306" t="s">
        <v>2319</v>
      </c>
      <c r="BH58" s="306"/>
      <c r="BI58" s="306"/>
      <c r="BJ58" s="306" t="s">
        <v>2320</v>
      </c>
      <c r="BK58" s="312">
        <v>33.42</v>
      </c>
      <c r="BL58" s="311" t="s">
        <v>2338</v>
      </c>
      <c r="BM58" s="311" t="s">
        <v>2339</v>
      </c>
      <c r="BN58" s="276">
        <v>10.945</v>
      </c>
      <c r="BO58" s="276">
        <v>9.3109999999999999</v>
      </c>
      <c r="BP58" s="276">
        <v>2.3029999999999999</v>
      </c>
      <c r="BQ58" s="165"/>
      <c r="BR58" s="165"/>
      <c r="BS58" s="277">
        <v>0.71</v>
      </c>
      <c r="BT58" s="278">
        <v>9.6359999999999992</v>
      </c>
      <c r="BU58" s="278">
        <v>2.6360000000000001</v>
      </c>
      <c r="BV58" s="278">
        <v>11.251999999999999</v>
      </c>
      <c r="BW58" s="279">
        <v>0.1653972112222222</v>
      </c>
      <c r="BX58" s="277">
        <v>0.18</v>
      </c>
      <c r="BY58" s="280">
        <v>16</v>
      </c>
      <c r="BZ58" s="280">
        <v>11.67</v>
      </c>
      <c r="CA58" s="280">
        <v>10.54</v>
      </c>
      <c r="CB58" s="280">
        <v>1.1389055555555554</v>
      </c>
      <c r="CC58" s="284">
        <v>0.7</v>
      </c>
      <c r="CD58" s="284">
        <v>0.8899999999999999</v>
      </c>
      <c r="CE58" s="284">
        <v>6.04</v>
      </c>
      <c r="CF58" s="249" t="s">
        <v>135</v>
      </c>
      <c r="CG58" s="306">
        <v>6</v>
      </c>
      <c r="CH58" s="306">
        <v>10</v>
      </c>
      <c r="CI58" s="306">
        <v>4</v>
      </c>
      <c r="CJ58" s="154">
        <v>240</v>
      </c>
      <c r="CK58" s="282">
        <v>291.60000000000002</v>
      </c>
      <c r="CL58" s="154" t="s">
        <v>136</v>
      </c>
      <c r="CM58" s="251" t="s">
        <v>137</v>
      </c>
      <c r="CN58" s="71"/>
      <c r="CO58" s="71"/>
    </row>
    <row r="59" spans="1:93" s="1" customFormat="1" x14ac:dyDescent="0.25">
      <c r="A59" s="88">
        <v>42725</v>
      </c>
      <c r="B59" s="73" t="s">
        <v>12</v>
      </c>
      <c r="C59" s="73" t="s">
        <v>2101</v>
      </c>
      <c r="D59" s="73" t="s">
        <v>106</v>
      </c>
      <c r="E59" s="73" t="s">
        <v>301</v>
      </c>
      <c r="F59" s="176" t="s">
        <v>2102</v>
      </c>
      <c r="G59" s="176"/>
      <c r="H59" s="176"/>
      <c r="I59" s="176"/>
      <c r="J59" s="41" t="s">
        <v>1234</v>
      </c>
      <c r="K59" s="85" t="s">
        <v>2103</v>
      </c>
      <c r="L59" s="294"/>
      <c r="M59" s="294"/>
      <c r="N59" s="25"/>
      <c r="O59" s="26"/>
      <c r="P59" s="26"/>
      <c r="Q59" s="2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5"/>
      <c r="AO59" s="33"/>
      <c r="AP59" s="25">
        <v>94072</v>
      </c>
      <c r="AQ59" s="33"/>
      <c r="AR59" s="31"/>
      <c r="AS59" s="33"/>
      <c r="AT59" s="25"/>
      <c r="AU59" s="294"/>
      <c r="AV59" s="294"/>
      <c r="AW59" s="41"/>
      <c r="AX59" s="294"/>
      <c r="AY59" s="294"/>
      <c r="AZ59" s="294"/>
      <c r="BA59" s="294" t="s">
        <v>2104</v>
      </c>
      <c r="BB59" s="294"/>
      <c r="BC59" s="294"/>
      <c r="BD59" s="294"/>
      <c r="BE59" s="31"/>
      <c r="BF59" s="294"/>
      <c r="BG59" s="294"/>
      <c r="BH59" s="294"/>
      <c r="BI59" s="294"/>
      <c r="BJ59" s="294" t="s">
        <v>2105</v>
      </c>
      <c r="BK59" s="171">
        <v>13.13</v>
      </c>
      <c r="BL59" s="103" t="s">
        <v>2219</v>
      </c>
      <c r="BM59" s="103" t="s">
        <v>2220</v>
      </c>
      <c r="BN59" s="297">
        <v>10.55</v>
      </c>
      <c r="BO59" s="297">
        <v>7.44</v>
      </c>
      <c r="BP59" s="297">
        <v>1.18</v>
      </c>
      <c r="BQ59" s="98"/>
      <c r="BR59" s="98"/>
      <c r="BS59" s="77">
        <v>0.35</v>
      </c>
      <c r="BT59" s="288">
        <f>8.5+0.036</f>
        <v>8.5359999999999996</v>
      </c>
      <c r="BU59" s="288">
        <f>2.37+0.036</f>
        <v>2.4060000000000001</v>
      </c>
      <c r="BV59" s="288">
        <f>10.62+0.036+0.036</f>
        <v>10.691999999999998</v>
      </c>
      <c r="BW59" s="286">
        <f>(BV59*BU59*BT59)/1728</f>
        <v>0.12707649899999998</v>
      </c>
      <c r="BX59" s="77">
        <v>0.2</v>
      </c>
      <c r="BY59" s="285">
        <v>12.25</v>
      </c>
      <c r="BZ59" s="285">
        <v>10.25</v>
      </c>
      <c r="CA59" s="285">
        <v>8.25</v>
      </c>
      <c r="CB59" s="286">
        <f>(CA59*BZ59*BY59)/1728</f>
        <v>0.59947374131944442</v>
      </c>
      <c r="CC59" s="80">
        <v>0.59</v>
      </c>
      <c r="CD59" s="80"/>
      <c r="CE59" s="80"/>
      <c r="CF59" s="105" t="s">
        <v>135</v>
      </c>
      <c r="CG59" s="72">
        <v>3</v>
      </c>
      <c r="CH59" s="72">
        <v>12</v>
      </c>
      <c r="CI59" s="72">
        <v>5</v>
      </c>
      <c r="CJ59" s="27">
        <f>CG59*CH59*CI59</f>
        <v>180</v>
      </c>
      <c r="CK59" s="287">
        <f>((((BS59+BX59)*CG59)+CC59)*CH59*CI59)+50</f>
        <v>184.4</v>
      </c>
      <c r="CL59" s="287" t="s">
        <v>140</v>
      </c>
      <c r="CM59" s="83" t="s">
        <v>137</v>
      </c>
      <c r="CN59" s="71"/>
      <c r="CO59" s="71"/>
    </row>
    <row r="60" spans="1:93" s="1" customFormat="1" x14ac:dyDescent="0.25">
      <c r="A60" s="88">
        <v>42725</v>
      </c>
      <c r="B60" s="73" t="s">
        <v>12</v>
      </c>
      <c r="C60" s="73" t="s">
        <v>2106</v>
      </c>
      <c r="D60" s="73" t="s">
        <v>106</v>
      </c>
      <c r="E60" s="73" t="s">
        <v>349</v>
      </c>
      <c r="F60" s="176" t="s">
        <v>2107</v>
      </c>
      <c r="G60" s="176"/>
      <c r="H60" s="176"/>
      <c r="I60" s="176"/>
      <c r="J60" s="41" t="s">
        <v>334</v>
      </c>
      <c r="K60" s="85" t="s">
        <v>2108</v>
      </c>
      <c r="L60" s="294"/>
      <c r="M60" s="294"/>
      <c r="N60" s="25"/>
      <c r="O60" s="26"/>
      <c r="P60" s="26"/>
      <c r="Q60" s="2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5"/>
      <c r="AO60" s="33"/>
      <c r="AP60" s="25"/>
      <c r="AQ60" s="33"/>
      <c r="AR60" s="31"/>
      <c r="AS60" s="33"/>
      <c r="AT60" s="25"/>
      <c r="AU60" s="294"/>
      <c r="AV60" s="294"/>
      <c r="AW60" s="41" t="s">
        <v>2109</v>
      </c>
      <c r="AX60" s="294"/>
      <c r="AY60" s="294" t="s">
        <v>2110</v>
      </c>
      <c r="AZ60" s="294"/>
      <c r="BA60" s="294" t="s">
        <v>2111</v>
      </c>
      <c r="BB60" s="294"/>
      <c r="BC60" s="294"/>
      <c r="BD60" s="294"/>
      <c r="BE60" s="31" t="s">
        <v>2112</v>
      </c>
      <c r="BF60" s="294"/>
      <c r="BG60" s="294"/>
      <c r="BH60" s="294"/>
      <c r="BI60" s="294" t="s">
        <v>2113</v>
      </c>
      <c r="BJ60" s="294" t="s">
        <v>2114</v>
      </c>
      <c r="BK60" s="171">
        <v>36.96</v>
      </c>
      <c r="BL60" s="103" t="s">
        <v>2221</v>
      </c>
      <c r="BM60" s="103" t="s">
        <v>2222</v>
      </c>
      <c r="BN60" s="98"/>
      <c r="BO60" s="98"/>
      <c r="BP60" s="98"/>
      <c r="BQ60" s="297">
        <v>3.66</v>
      </c>
      <c r="BR60" s="297">
        <v>5.53</v>
      </c>
      <c r="BS60" s="77">
        <v>1.1499999999999999</v>
      </c>
      <c r="BT60" s="288">
        <f>3.81+0.036</f>
        <v>3.8460000000000001</v>
      </c>
      <c r="BU60" s="288">
        <f>3.81+0.036</f>
        <v>3.8460000000000001</v>
      </c>
      <c r="BV60" s="288">
        <f>5.75+0.036+0.036</f>
        <v>5.8219999999999992</v>
      </c>
      <c r="BW60" s="286">
        <f>(BV60*BU60*BT60)/1728</f>
        <v>4.9836441291666665E-2</v>
      </c>
      <c r="BX60" s="77">
        <v>0.09</v>
      </c>
      <c r="BY60" s="285">
        <v>16</v>
      </c>
      <c r="BZ60" s="285">
        <v>12</v>
      </c>
      <c r="CA60" s="285">
        <f>5.87+0.5</f>
        <v>6.37</v>
      </c>
      <c r="CB60" s="286">
        <f>(CA60*BZ60*BY60)/1728</f>
        <v>0.70777777777777773</v>
      </c>
      <c r="CC60" s="80">
        <v>0.76</v>
      </c>
      <c r="CD60" s="80"/>
      <c r="CE60" s="80"/>
      <c r="CF60" s="105" t="s">
        <v>135</v>
      </c>
      <c r="CG60" s="72">
        <v>12</v>
      </c>
      <c r="CH60" s="72">
        <v>10</v>
      </c>
      <c r="CI60" s="72">
        <v>7</v>
      </c>
      <c r="CJ60" s="27">
        <f>CG60*CH60*CI60</f>
        <v>840</v>
      </c>
      <c r="CK60" s="287">
        <f>((((BS60+BX60)*CG60)+CC60)*CH60*CI60)+50</f>
        <v>1144.7999999999997</v>
      </c>
      <c r="CL60" s="287" t="s">
        <v>140</v>
      </c>
      <c r="CM60" s="83" t="s">
        <v>151</v>
      </c>
      <c r="CN60" s="71"/>
      <c r="CO60" s="71"/>
    </row>
    <row r="61" spans="1:93" s="1" customFormat="1" x14ac:dyDescent="0.25">
      <c r="A61" s="88">
        <v>42725</v>
      </c>
      <c r="B61" s="73" t="s">
        <v>12</v>
      </c>
      <c r="C61" s="73" t="s">
        <v>2115</v>
      </c>
      <c r="D61" s="73" t="s">
        <v>106</v>
      </c>
      <c r="E61" s="73" t="s">
        <v>301</v>
      </c>
      <c r="F61" s="176" t="s">
        <v>2116</v>
      </c>
      <c r="G61" s="176"/>
      <c r="H61" s="176"/>
      <c r="I61" s="176"/>
      <c r="J61" s="41" t="s">
        <v>109</v>
      </c>
      <c r="K61" s="85" t="s">
        <v>2117</v>
      </c>
      <c r="L61" s="294" t="s">
        <v>108</v>
      </c>
      <c r="M61" s="294">
        <v>94775933</v>
      </c>
      <c r="N61" s="25"/>
      <c r="O61" s="26"/>
      <c r="P61" s="26"/>
      <c r="Q61" s="2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5"/>
      <c r="AO61" s="33"/>
      <c r="AP61" s="25"/>
      <c r="AQ61" s="33"/>
      <c r="AR61" s="31"/>
      <c r="AS61" s="33"/>
      <c r="AT61" s="25"/>
      <c r="AU61" s="294"/>
      <c r="AV61" s="294" t="s">
        <v>2118</v>
      </c>
      <c r="AW61" s="41"/>
      <c r="AX61" s="294"/>
      <c r="AY61" s="294"/>
      <c r="AZ61" s="294"/>
      <c r="BA61" s="294"/>
      <c r="BB61" s="294"/>
      <c r="BC61" s="294"/>
      <c r="BD61" s="294"/>
      <c r="BE61" s="31"/>
      <c r="BF61" s="294" t="s">
        <v>2119</v>
      </c>
      <c r="BG61" s="294" t="s">
        <v>2120</v>
      </c>
      <c r="BH61" s="294"/>
      <c r="BI61" s="294" t="s">
        <v>2120</v>
      </c>
      <c r="BJ61" s="294"/>
      <c r="BK61" s="171">
        <v>12.66</v>
      </c>
      <c r="BL61" s="103" t="s">
        <v>2223</v>
      </c>
      <c r="BM61" s="103" t="s">
        <v>2224</v>
      </c>
      <c r="BN61" s="297">
        <v>10.73</v>
      </c>
      <c r="BO61" s="297">
        <v>10.1</v>
      </c>
      <c r="BP61" s="297">
        <v>1.67</v>
      </c>
      <c r="BQ61" s="98"/>
      <c r="BR61" s="98"/>
      <c r="BS61" s="77">
        <v>0.63</v>
      </c>
      <c r="BT61" s="288">
        <f>10.31+0.036</f>
        <v>10.346</v>
      </c>
      <c r="BU61" s="288">
        <f>1.85+0.036</f>
        <v>1.8860000000000001</v>
      </c>
      <c r="BV61" s="288">
        <f>10.98+0.036+0.036</f>
        <v>11.052</v>
      </c>
      <c r="BW61" s="286">
        <f t="shared" ref="BW61:BW76" si="13">(BV61*BU61*BT61)/1728</f>
        <v>0.12479905608333333</v>
      </c>
      <c r="BX61" s="77">
        <v>0.25</v>
      </c>
      <c r="BY61" s="285">
        <f>11.42+0.25</f>
        <v>11.67</v>
      </c>
      <c r="BZ61" s="285">
        <f>11.22+0.25</f>
        <v>11.47</v>
      </c>
      <c r="CA61" s="285">
        <f>10.78+0.5</f>
        <v>11.28</v>
      </c>
      <c r="CB61" s="286">
        <f t="shared" ref="CB61:CB76" si="14">(CA61*BZ61*BY61)/1728</f>
        <v>0.87377504166666653</v>
      </c>
      <c r="CC61" s="80">
        <v>0.2</v>
      </c>
      <c r="CD61" s="80"/>
      <c r="CE61" s="80"/>
      <c r="CF61" s="105" t="s">
        <v>135</v>
      </c>
      <c r="CG61" s="72">
        <v>6</v>
      </c>
      <c r="CH61" s="72">
        <v>12</v>
      </c>
      <c r="CI61" s="72">
        <v>3</v>
      </c>
      <c r="CJ61" s="27">
        <f t="shared" ref="CJ61:CJ76" si="15">CG61*CH61*CI61</f>
        <v>216</v>
      </c>
      <c r="CK61" s="287">
        <f t="shared" ref="CK61:CK76" si="16">((((BS61+BX61)*CG61)+CC61)*CH61*CI61)+50</f>
        <v>247.28000000000003</v>
      </c>
      <c r="CL61" s="287" t="s">
        <v>136</v>
      </c>
      <c r="CM61" s="83" t="s">
        <v>137</v>
      </c>
      <c r="CN61" s="71"/>
      <c r="CO61" s="71"/>
    </row>
    <row r="62" spans="1:93" s="1" customFormat="1" x14ac:dyDescent="0.25">
      <c r="A62" s="88">
        <v>42725</v>
      </c>
      <c r="B62" s="73" t="s">
        <v>12</v>
      </c>
      <c r="C62" s="73" t="s">
        <v>2121</v>
      </c>
      <c r="D62" s="73" t="s">
        <v>106</v>
      </c>
      <c r="E62" s="73" t="s">
        <v>358</v>
      </c>
      <c r="F62" s="176" t="s">
        <v>2122</v>
      </c>
      <c r="G62" s="176"/>
      <c r="H62" s="176"/>
      <c r="I62" s="176"/>
      <c r="J62" s="41" t="s">
        <v>236</v>
      </c>
      <c r="K62" s="85" t="s">
        <v>2123</v>
      </c>
      <c r="L62" s="294"/>
      <c r="M62" s="294"/>
      <c r="N62" s="25"/>
      <c r="O62" s="26"/>
      <c r="P62" s="26"/>
      <c r="Q62" s="2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5"/>
      <c r="AO62" s="33"/>
      <c r="AP62" s="25"/>
      <c r="AQ62" s="33"/>
      <c r="AR62" s="31"/>
      <c r="AS62" s="33"/>
      <c r="AT62" s="25"/>
      <c r="AU62" s="294"/>
      <c r="AV62" s="294" t="s">
        <v>2124</v>
      </c>
      <c r="AW62" s="41"/>
      <c r="AX62" s="294"/>
      <c r="AY62" s="294"/>
      <c r="AZ62" s="294"/>
      <c r="BA62" s="294"/>
      <c r="BB62" s="294"/>
      <c r="BC62" s="294"/>
      <c r="BD62" s="294">
        <v>200212</v>
      </c>
      <c r="BE62" s="31"/>
      <c r="BF62" s="294"/>
      <c r="BG62" s="294" t="s">
        <v>2125</v>
      </c>
      <c r="BH62" s="294"/>
      <c r="BI62" s="294" t="s">
        <v>2125</v>
      </c>
      <c r="BJ62" s="294" t="s">
        <v>2126</v>
      </c>
      <c r="BK62" s="171">
        <v>12.97</v>
      </c>
      <c r="BL62" s="103" t="s">
        <v>2225</v>
      </c>
      <c r="BM62" s="103" t="s">
        <v>2226</v>
      </c>
      <c r="BN62" s="297">
        <v>7.78</v>
      </c>
      <c r="BO62" s="297">
        <v>5.87</v>
      </c>
      <c r="BP62" s="297">
        <v>1.99</v>
      </c>
      <c r="BQ62" s="98"/>
      <c r="BR62" s="98"/>
      <c r="BS62" s="77">
        <v>0.47</v>
      </c>
      <c r="BT62" s="288">
        <f>7.75+0.036</f>
        <v>7.7859999999999996</v>
      </c>
      <c r="BU62" s="288">
        <f>2.5+0.036</f>
        <v>2.536</v>
      </c>
      <c r="BV62" s="288">
        <f>9.036+0.036</f>
        <v>9.0719999999999992</v>
      </c>
      <c r="BW62" s="286">
        <f t="shared" si="13"/>
        <v>0.10366280399999998</v>
      </c>
      <c r="BX62" s="77">
        <v>0.16</v>
      </c>
      <c r="BY62" s="285">
        <f>15.12+0.25</f>
        <v>15.37</v>
      </c>
      <c r="BZ62" s="285">
        <v>9.75</v>
      </c>
      <c r="CA62" s="285">
        <v>9</v>
      </c>
      <c r="CB62" s="286">
        <f t="shared" si="14"/>
        <v>0.78050781250000001</v>
      </c>
      <c r="CC62" s="289">
        <v>0.67</v>
      </c>
      <c r="CD62" s="289"/>
      <c r="CE62" s="289"/>
      <c r="CF62" s="105" t="s">
        <v>135</v>
      </c>
      <c r="CG62" s="72">
        <v>6</v>
      </c>
      <c r="CH62" s="72">
        <v>12</v>
      </c>
      <c r="CI62" s="72">
        <v>5</v>
      </c>
      <c r="CJ62" s="27">
        <f t="shared" si="15"/>
        <v>360</v>
      </c>
      <c r="CK62" s="287">
        <f t="shared" si="16"/>
        <v>317</v>
      </c>
      <c r="CL62" s="287" t="s">
        <v>140</v>
      </c>
      <c r="CM62" s="83" t="s">
        <v>137</v>
      </c>
      <c r="CN62" s="71"/>
      <c r="CO62" s="71"/>
    </row>
    <row r="63" spans="1:93" s="1" customFormat="1" x14ac:dyDescent="0.25">
      <c r="A63" s="88">
        <v>42725</v>
      </c>
      <c r="B63" s="73" t="s">
        <v>12</v>
      </c>
      <c r="C63" s="73" t="s">
        <v>2127</v>
      </c>
      <c r="D63" s="73" t="s">
        <v>106</v>
      </c>
      <c r="E63" s="73" t="s">
        <v>358</v>
      </c>
      <c r="F63" s="176" t="s">
        <v>2128</v>
      </c>
      <c r="G63" s="176"/>
      <c r="H63" s="176"/>
      <c r="I63" s="176"/>
      <c r="J63" s="41" t="s">
        <v>628</v>
      </c>
      <c r="K63" s="85" t="s">
        <v>2129</v>
      </c>
      <c r="L63" s="294"/>
      <c r="M63" s="294"/>
      <c r="N63" s="25"/>
      <c r="O63" s="26"/>
      <c r="P63" s="26"/>
      <c r="Q63" s="2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5" t="s">
        <v>2130</v>
      </c>
      <c r="AO63" s="33"/>
      <c r="AP63" s="25">
        <v>83480</v>
      </c>
      <c r="AQ63" s="33"/>
      <c r="AR63" s="31"/>
      <c r="AS63" s="33"/>
      <c r="AT63" s="25"/>
      <c r="AU63" s="294" t="s">
        <v>2131</v>
      </c>
      <c r="AV63" s="294" t="s">
        <v>2132</v>
      </c>
      <c r="AW63" s="41"/>
      <c r="AX63" s="294"/>
      <c r="AY63" s="294"/>
      <c r="AZ63" s="294"/>
      <c r="BA63" s="294"/>
      <c r="BB63" s="294"/>
      <c r="BC63" s="294"/>
      <c r="BD63" s="294">
        <v>9480</v>
      </c>
      <c r="BE63" s="31" t="s">
        <v>2133</v>
      </c>
      <c r="BF63" s="294" t="s">
        <v>2134</v>
      </c>
      <c r="BG63" s="294" t="s">
        <v>2135</v>
      </c>
      <c r="BH63" s="294"/>
      <c r="BI63" s="294" t="s">
        <v>2136</v>
      </c>
      <c r="BJ63" s="294">
        <v>49480</v>
      </c>
      <c r="BK63" s="171">
        <v>13.12</v>
      </c>
      <c r="BL63" s="103" t="s">
        <v>2227</v>
      </c>
      <c r="BM63" s="103" t="s">
        <v>2228</v>
      </c>
      <c r="BN63" s="297">
        <v>10.14</v>
      </c>
      <c r="BO63" s="297">
        <v>6.4</v>
      </c>
      <c r="BP63" s="297">
        <v>2.08</v>
      </c>
      <c r="BQ63" s="98"/>
      <c r="BR63" s="98"/>
      <c r="BS63" s="77">
        <v>0.48</v>
      </c>
      <c r="BT63" s="288">
        <f>6.85+0.036</f>
        <v>6.8859999999999992</v>
      </c>
      <c r="BU63" s="288">
        <f>2.12+0.036</f>
        <v>2.1560000000000001</v>
      </c>
      <c r="BV63" s="288">
        <f>10.16+0.036+0.036</f>
        <v>10.231999999999999</v>
      </c>
      <c r="BW63" s="286">
        <f t="shared" si="13"/>
        <v>8.7908843814814813E-2</v>
      </c>
      <c r="BX63" s="77">
        <v>0.2</v>
      </c>
      <c r="BY63" s="285">
        <f>11.81+0.25</f>
        <v>12.06</v>
      </c>
      <c r="BZ63" s="285">
        <f>11.42+0.25</f>
        <v>11.67</v>
      </c>
      <c r="CA63" s="285">
        <f>9.45+0.5</f>
        <v>9.9499999999999993</v>
      </c>
      <c r="CB63" s="286">
        <f t="shared" si="14"/>
        <v>0.81039640624999987</v>
      </c>
      <c r="CC63" s="80">
        <v>0.2</v>
      </c>
      <c r="CD63" s="80"/>
      <c r="CE63" s="80"/>
      <c r="CF63" s="105" t="s">
        <v>135</v>
      </c>
      <c r="CG63" s="72">
        <v>6</v>
      </c>
      <c r="CH63" s="72">
        <v>12</v>
      </c>
      <c r="CI63" s="72">
        <v>4</v>
      </c>
      <c r="CJ63" s="27">
        <f t="shared" si="15"/>
        <v>288</v>
      </c>
      <c r="CK63" s="287">
        <f t="shared" si="16"/>
        <v>255.44</v>
      </c>
      <c r="CL63" s="287" t="s">
        <v>150</v>
      </c>
      <c r="CM63" s="83" t="s">
        <v>137</v>
      </c>
      <c r="CN63" s="71"/>
      <c r="CO63" s="71"/>
    </row>
    <row r="64" spans="1:93" s="1" customFormat="1" x14ac:dyDescent="0.25">
      <c r="A64" s="88">
        <v>42725</v>
      </c>
      <c r="B64" s="73" t="s">
        <v>12</v>
      </c>
      <c r="C64" s="73" t="s">
        <v>2137</v>
      </c>
      <c r="D64" s="73" t="s">
        <v>106</v>
      </c>
      <c r="E64" s="73" t="s">
        <v>2138</v>
      </c>
      <c r="F64" s="176" t="s">
        <v>2139</v>
      </c>
      <c r="G64" s="176"/>
      <c r="H64" s="176"/>
      <c r="I64" s="176"/>
      <c r="J64" s="41" t="s">
        <v>108</v>
      </c>
      <c r="K64" s="85">
        <v>23327845</v>
      </c>
      <c r="L64" s="294"/>
      <c r="M64" s="294"/>
      <c r="N64" s="25"/>
      <c r="O64" s="26"/>
      <c r="P64" s="26"/>
      <c r="Q64" s="2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5" t="s">
        <v>2140</v>
      </c>
      <c r="AO64" s="33"/>
      <c r="AP64" s="25"/>
      <c r="AQ64" s="33" t="s">
        <v>2141</v>
      </c>
      <c r="AR64" s="31"/>
      <c r="AS64" s="33"/>
      <c r="AT64" s="25"/>
      <c r="AU64" s="294"/>
      <c r="AV64" s="294"/>
      <c r="AW64" s="41"/>
      <c r="AX64" s="294"/>
      <c r="AY64" s="294"/>
      <c r="AZ64" s="294"/>
      <c r="BA64" s="294"/>
      <c r="BB64" s="294"/>
      <c r="BC64" s="294"/>
      <c r="BD64" s="294"/>
      <c r="BE64" s="31"/>
      <c r="BF64" s="294"/>
      <c r="BG64" s="294" t="s">
        <v>2142</v>
      </c>
      <c r="BH64" s="294"/>
      <c r="BI64" s="294"/>
      <c r="BJ64" s="294"/>
      <c r="BK64" s="171">
        <v>57.6</v>
      </c>
      <c r="BL64" s="103" t="s">
        <v>2229</v>
      </c>
      <c r="BM64" s="103" t="s">
        <v>2230</v>
      </c>
      <c r="BN64" s="98"/>
      <c r="BO64" s="98"/>
      <c r="BP64" s="98"/>
      <c r="BQ64" s="297">
        <v>5.4</v>
      </c>
      <c r="BR64" s="297">
        <v>13.15</v>
      </c>
      <c r="BS64" s="77">
        <v>1.29</v>
      </c>
      <c r="BT64" s="288">
        <f>5.75+0.036</f>
        <v>5.7859999999999996</v>
      </c>
      <c r="BU64" s="288">
        <f>5.75+0.036</f>
        <v>5.7859999999999996</v>
      </c>
      <c r="BV64" s="288">
        <f>13.5+0.036+0.036</f>
        <v>13.571999999999999</v>
      </c>
      <c r="BW64" s="286">
        <f t="shared" si="13"/>
        <v>0.26294018941666658</v>
      </c>
      <c r="BX64" s="77">
        <v>0.25</v>
      </c>
      <c r="BY64" s="285">
        <v>18</v>
      </c>
      <c r="BZ64" s="285">
        <v>13.75</v>
      </c>
      <c r="CA64" s="285">
        <v>14</v>
      </c>
      <c r="CB64" s="286">
        <f t="shared" si="14"/>
        <v>2.0052083333333335</v>
      </c>
      <c r="CC64" s="289">
        <v>1.26</v>
      </c>
      <c r="CD64" s="289"/>
      <c r="CE64" s="289"/>
      <c r="CF64" s="105" t="s">
        <v>135</v>
      </c>
      <c r="CG64" s="72">
        <v>6</v>
      </c>
      <c r="CH64" s="72">
        <v>6</v>
      </c>
      <c r="CI64" s="72">
        <v>3</v>
      </c>
      <c r="CJ64" s="27">
        <f t="shared" si="15"/>
        <v>108</v>
      </c>
      <c r="CK64" s="287">
        <f t="shared" si="16"/>
        <v>239</v>
      </c>
      <c r="CL64" s="287" t="s">
        <v>257</v>
      </c>
      <c r="CM64" s="83" t="s">
        <v>137</v>
      </c>
      <c r="CN64" s="71"/>
      <c r="CO64" s="71"/>
    </row>
    <row r="65" spans="1:93" s="1" customFormat="1" x14ac:dyDescent="0.25">
      <c r="A65" s="88">
        <v>42725</v>
      </c>
      <c r="B65" s="73" t="s">
        <v>12</v>
      </c>
      <c r="C65" s="73" t="s">
        <v>2143</v>
      </c>
      <c r="D65" s="73" t="s">
        <v>106</v>
      </c>
      <c r="E65" s="73" t="s">
        <v>301</v>
      </c>
      <c r="F65" s="176" t="s">
        <v>2144</v>
      </c>
      <c r="G65" s="176"/>
      <c r="H65" s="176"/>
      <c r="I65" s="176"/>
      <c r="J65" s="41" t="s">
        <v>91</v>
      </c>
      <c r="K65" s="85" t="s">
        <v>2145</v>
      </c>
      <c r="L65" s="294"/>
      <c r="M65" s="294"/>
      <c r="N65" s="25"/>
      <c r="O65" s="26"/>
      <c r="P65" s="26"/>
      <c r="Q65" s="2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5"/>
      <c r="AO65" s="33"/>
      <c r="AP65" s="25">
        <v>93645</v>
      </c>
      <c r="AQ65" s="33"/>
      <c r="AR65" s="31"/>
      <c r="AS65" s="33"/>
      <c r="AT65" s="25"/>
      <c r="AU65" s="294"/>
      <c r="AV65" s="294"/>
      <c r="AW65" s="41"/>
      <c r="AX65" s="294"/>
      <c r="AY65" s="294"/>
      <c r="AZ65" s="294"/>
      <c r="BA65" s="294"/>
      <c r="BB65" s="294"/>
      <c r="BC65" s="294" t="s">
        <v>2146</v>
      </c>
      <c r="BD65" s="294"/>
      <c r="BE65" s="31" t="s">
        <v>2147</v>
      </c>
      <c r="BF65" s="294"/>
      <c r="BG65" s="294"/>
      <c r="BH65" s="294"/>
      <c r="BI65" s="294" t="s">
        <v>2148</v>
      </c>
      <c r="BJ65" s="294"/>
      <c r="BK65" s="171">
        <v>12.96</v>
      </c>
      <c r="BL65" s="103" t="s">
        <v>2231</v>
      </c>
      <c r="BM65" s="103" t="s">
        <v>2232</v>
      </c>
      <c r="BN65" s="297">
        <v>11.18</v>
      </c>
      <c r="BO65" s="297">
        <v>10.199999999999999</v>
      </c>
      <c r="BP65" s="297">
        <v>2.21</v>
      </c>
      <c r="BQ65" s="98"/>
      <c r="BR65" s="98"/>
      <c r="BS65" s="77">
        <v>0.72</v>
      </c>
      <c r="BT65" s="288">
        <f>11.25+0.018+0.018</f>
        <v>11.286000000000001</v>
      </c>
      <c r="BU65" s="288">
        <f>2.68+0.018+0.018</f>
        <v>2.7159999999999997</v>
      </c>
      <c r="BV65" s="288">
        <f>11.25+(4*0.018)</f>
        <v>11.321999999999999</v>
      </c>
      <c r="BW65" s="286">
        <f t="shared" si="13"/>
        <v>0.20083954274999999</v>
      </c>
      <c r="BX65" s="77">
        <v>0.28000000000000003</v>
      </c>
      <c r="BY65" s="285">
        <f>16.62+0.25</f>
        <v>16.87</v>
      </c>
      <c r="BZ65" s="285">
        <v>11.75</v>
      </c>
      <c r="CA65" s="285">
        <v>12</v>
      </c>
      <c r="CB65" s="286">
        <f t="shared" si="14"/>
        <v>1.376545138888889</v>
      </c>
      <c r="CC65" s="289">
        <v>0.97</v>
      </c>
      <c r="CD65" s="289"/>
      <c r="CE65" s="289"/>
      <c r="CF65" s="105" t="s">
        <v>135</v>
      </c>
      <c r="CG65" s="72">
        <v>6</v>
      </c>
      <c r="CH65" s="72">
        <v>8</v>
      </c>
      <c r="CI65" s="72">
        <v>3</v>
      </c>
      <c r="CJ65" s="27">
        <f t="shared" si="15"/>
        <v>144</v>
      </c>
      <c r="CK65" s="287">
        <f t="shared" si="16"/>
        <v>217.28</v>
      </c>
      <c r="CL65" s="287" t="s">
        <v>140</v>
      </c>
      <c r="CM65" s="83" t="s">
        <v>137</v>
      </c>
      <c r="CN65" s="71"/>
      <c r="CO65" s="71"/>
    </row>
    <row r="66" spans="1:93" s="1" customFormat="1" x14ac:dyDescent="0.25">
      <c r="A66" s="88">
        <v>42725</v>
      </c>
      <c r="B66" s="73" t="s">
        <v>12</v>
      </c>
      <c r="C66" s="73" t="s">
        <v>2149</v>
      </c>
      <c r="D66" s="73" t="s">
        <v>106</v>
      </c>
      <c r="E66" s="73" t="s">
        <v>2150</v>
      </c>
      <c r="F66" s="176" t="s">
        <v>2151</v>
      </c>
      <c r="G66" s="176"/>
      <c r="H66" s="176"/>
      <c r="I66" s="176"/>
      <c r="J66" s="41" t="s">
        <v>125</v>
      </c>
      <c r="K66" s="85">
        <v>13327811227</v>
      </c>
      <c r="L66" s="294"/>
      <c r="M66" s="294"/>
      <c r="N66" s="25"/>
      <c r="O66" s="26"/>
      <c r="P66" s="26"/>
      <c r="Q66" s="2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5"/>
      <c r="AO66" s="33"/>
      <c r="AP66" s="25"/>
      <c r="AQ66" s="33"/>
      <c r="AR66" s="31"/>
      <c r="AS66" s="33"/>
      <c r="AT66" s="25"/>
      <c r="AU66" s="294"/>
      <c r="AV66" s="294"/>
      <c r="AW66" s="41"/>
      <c r="AX66" s="294"/>
      <c r="AY66" s="294" t="s">
        <v>2152</v>
      </c>
      <c r="AZ66" s="294"/>
      <c r="BA66" s="294" t="s">
        <v>2153</v>
      </c>
      <c r="BB66" s="294"/>
      <c r="BC66" s="294"/>
      <c r="BD66" s="294"/>
      <c r="BE66" s="31"/>
      <c r="BF66" s="294"/>
      <c r="BG66" s="294"/>
      <c r="BH66" s="294"/>
      <c r="BI66" s="294"/>
      <c r="BJ66" s="294"/>
      <c r="BK66" s="171">
        <v>35.840000000000003</v>
      </c>
      <c r="BL66" s="103" t="s">
        <v>2233</v>
      </c>
      <c r="BM66" s="103" t="s">
        <v>2234</v>
      </c>
      <c r="BN66" s="98"/>
      <c r="BO66" s="98"/>
      <c r="BP66" s="98"/>
      <c r="BQ66" s="297">
        <v>9.843</v>
      </c>
      <c r="BR66" s="297">
        <v>2.6179999999999999</v>
      </c>
      <c r="BS66" s="77">
        <v>0.56000000000000005</v>
      </c>
      <c r="BT66" s="288">
        <f>3.81+0.036</f>
        <v>3.8460000000000001</v>
      </c>
      <c r="BU66" s="288">
        <f>3.81+0.036</f>
        <v>3.8460000000000001</v>
      </c>
      <c r="BV66" s="288">
        <f>11.43+0.036+0.036</f>
        <v>11.501999999999999</v>
      </c>
      <c r="BW66" s="286">
        <f t="shared" si="13"/>
        <v>9.845735962499999E-2</v>
      </c>
      <c r="BX66" s="77">
        <v>0.15</v>
      </c>
      <c r="BY66" s="285">
        <f>15.87+0.25</f>
        <v>16.119999999999997</v>
      </c>
      <c r="BZ66" s="285">
        <v>12.25</v>
      </c>
      <c r="CA66" s="285">
        <v>12.5</v>
      </c>
      <c r="CB66" s="286">
        <f t="shared" si="14"/>
        <v>1.4284577546296293</v>
      </c>
      <c r="CC66" s="80">
        <v>1</v>
      </c>
      <c r="CD66" s="80"/>
      <c r="CE66" s="80"/>
      <c r="CF66" s="105" t="s">
        <v>135</v>
      </c>
      <c r="CG66" s="72">
        <v>12</v>
      </c>
      <c r="CH66" s="72">
        <v>8</v>
      </c>
      <c r="CI66" s="72">
        <v>3</v>
      </c>
      <c r="CJ66" s="27">
        <f t="shared" si="15"/>
        <v>288</v>
      </c>
      <c r="CK66" s="287">
        <f t="shared" si="16"/>
        <v>278.48</v>
      </c>
      <c r="CL66" s="287" t="s">
        <v>150</v>
      </c>
      <c r="CM66" s="83" t="s">
        <v>151</v>
      </c>
      <c r="CN66" s="71"/>
      <c r="CO66" s="71"/>
    </row>
    <row r="67" spans="1:93" s="1" customFormat="1" ht="30" x14ac:dyDescent="0.25">
      <c r="A67" s="88">
        <v>42725</v>
      </c>
      <c r="B67" s="73" t="s">
        <v>12</v>
      </c>
      <c r="C67" s="73" t="s">
        <v>2154</v>
      </c>
      <c r="D67" s="73" t="s">
        <v>106</v>
      </c>
      <c r="E67" s="73" t="s">
        <v>2150</v>
      </c>
      <c r="F67" s="176" t="s">
        <v>2155</v>
      </c>
      <c r="G67" s="176"/>
      <c r="H67" s="176"/>
      <c r="I67" s="176"/>
      <c r="J67" s="41" t="s">
        <v>2156</v>
      </c>
      <c r="K67" s="85">
        <v>6420904852</v>
      </c>
      <c r="L67" s="294"/>
      <c r="M67" s="294"/>
      <c r="N67" s="25"/>
      <c r="O67" s="26"/>
      <c r="P67" s="26"/>
      <c r="Q67" s="2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5" t="s">
        <v>2256</v>
      </c>
      <c r="AO67" s="33"/>
      <c r="AP67" s="25"/>
      <c r="AQ67" s="33"/>
      <c r="AR67" s="31"/>
      <c r="AS67" s="33"/>
      <c r="AT67" s="25" t="s">
        <v>2257</v>
      </c>
      <c r="AU67" s="298"/>
      <c r="AV67" s="298"/>
      <c r="AW67" s="41"/>
      <c r="AX67" s="298"/>
      <c r="AY67" s="298"/>
      <c r="AZ67" s="298"/>
      <c r="BA67" s="298" t="s">
        <v>2157</v>
      </c>
      <c r="BB67" s="298"/>
      <c r="BC67" s="298"/>
      <c r="BD67" s="298"/>
      <c r="BE67" s="31"/>
      <c r="BF67" s="298"/>
      <c r="BG67" s="298"/>
      <c r="BH67" s="298"/>
      <c r="BI67" s="298"/>
      <c r="BJ67" s="298">
        <v>33251</v>
      </c>
      <c r="BK67" s="171">
        <v>49.99</v>
      </c>
      <c r="BL67" s="103" t="s">
        <v>2235</v>
      </c>
      <c r="BM67" s="103" t="s">
        <v>2236</v>
      </c>
      <c r="BN67" s="98"/>
      <c r="BO67" s="98"/>
      <c r="BP67" s="98"/>
      <c r="BQ67" s="297">
        <v>3.6019999999999999</v>
      </c>
      <c r="BR67" s="297">
        <v>4.6260000000000003</v>
      </c>
      <c r="BS67" s="77">
        <v>0.73</v>
      </c>
      <c r="BT67" s="288">
        <f>3.812+0.018+0.018</f>
        <v>3.8479999999999994</v>
      </c>
      <c r="BU67" s="288">
        <f>3.812+0.018+0.018</f>
        <v>3.8479999999999994</v>
      </c>
      <c r="BV67" s="288">
        <f>5.375+(4*0.018)</f>
        <v>5.4470000000000001</v>
      </c>
      <c r="BW67" s="286">
        <f t="shared" si="13"/>
        <v>4.6674939518518505E-2</v>
      </c>
      <c r="BX67" s="77">
        <v>0.08</v>
      </c>
      <c r="BY67" s="285">
        <f>15.56+0.25</f>
        <v>15.81</v>
      </c>
      <c r="BZ67" s="285">
        <f>11.68+0.25</f>
        <v>11.93</v>
      </c>
      <c r="CA67" s="285">
        <v>6</v>
      </c>
      <c r="CB67" s="286">
        <f t="shared" si="14"/>
        <v>0.65490729166666672</v>
      </c>
      <c r="CC67" s="289">
        <v>0.75</v>
      </c>
      <c r="CD67" s="289"/>
      <c r="CE67" s="289"/>
      <c r="CF67" s="105" t="s">
        <v>135</v>
      </c>
      <c r="CG67" s="72">
        <v>12</v>
      </c>
      <c r="CH67" s="72">
        <v>10</v>
      </c>
      <c r="CI67" s="72">
        <v>7</v>
      </c>
      <c r="CJ67" s="27">
        <f t="shared" si="15"/>
        <v>840</v>
      </c>
      <c r="CK67" s="287">
        <f t="shared" si="16"/>
        <v>782.89999999999986</v>
      </c>
      <c r="CL67" s="287" t="s">
        <v>150</v>
      </c>
      <c r="CM67" s="83" t="s">
        <v>151</v>
      </c>
      <c r="CN67" s="71"/>
      <c r="CO67" s="71"/>
    </row>
    <row r="68" spans="1:93" s="1" customFormat="1" x14ac:dyDescent="0.25">
      <c r="A68" s="88">
        <v>42725</v>
      </c>
      <c r="B68" s="73" t="s">
        <v>12</v>
      </c>
      <c r="C68" s="73" t="s">
        <v>2158</v>
      </c>
      <c r="D68" s="73" t="s">
        <v>106</v>
      </c>
      <c r="E68" s="73" t="s">
        <v>59</v>
      </c>
      <c r="F68" s="176" t="s">
        <v>2159</v>
      </c>
      <c r="G68" s="176"/>
      <c r="H68" s="176"/>
      <c r="I68" s="176"/>
      <c r="J68" s="41" t="s">
        <v>91</v>
      </c>
      <c r="K68" s="85" t="s">
        <v>2160</v>
      </c>
      <c r="L68" s="294"/>
      <c r="M68" s="294"/>
      <c r="N68" s="25"/>
      <c r="O68" s="26"/>
      <c r="P68" s="26"/>
      <c r="Q68" s="2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5" t="s">
        <v>2161</v>
      </c>
      <c r="AO68" s="33"/>
      <c r="AP68" s="25"/>
      <c r="AQ68" s="33"/>
      <c r="AR68" s="31"/>
      <c r="AS68" s="33"/>
      <c r="AT68" s="25"/>
      <c r="AU68" s="294"/>
      <c r="AV68" s="294"/>
      <c r="AW68" s="41"/>
      <c r="AX68" s="294"/>
      <c r="AY68" s="294"/>
      <c r="AZ68" s="294"/>
      <c r="BA68" s="294"/>
      <c r="BB68" s="294"/>
      <c r="BC68" s="294" t="s">
        <v>2162</v>
      </c>
      <c r="BD68" s="294"/>
      <c r="BE68" s="31"/>
      <c r="BF68" s="294"/>
      <c r="BG68" s="294"/>
      <c r="BH68" s="294"/>
      <c r="BI68" s="294"/>
      <c r="BJ68" s="294"/>
      <c r="BK68" s="171">
        <v>51.84</v>
      </c>
      <c r="BL68" s="103" t="s">
        <v>2237</v>
      </c>
      <c r="BM68" s="103" t="s">
        <v>2238</v>
      </c>
      <c r="BN68" s="98"/>
      <c r="BO68" s="98"/>
      <c r="BP68" s="98"/>
      <c r="BQ68" s="297">
        <v>4.8499999999999996</v>
      </c>
      <c r="BR68" s="297">
        <v>5.26</v>
      </c>
      <c r="BS68" s="77">
        <v>0.5</v>
      </c>
      <c r="BT68" s="288">
        <f t="shared" ref="BT68:BU69" si="17">4.62+0.036</f>
        <v>4.6559999999999997</v>
      </c>
      <c r="BU68" s="288">
        <f t="shared" si="17"/>
        <v>4.6559999999999997</v>
      </c>
      <c r="BV68" s="288">
        <f t="shared" ref="BV68:BV69" si="18">6.072</f>
        <v>6.0720000000000001</v>
      </c>
      <c r="BW68" s="286">
        <f t="shared" si="13"/>
        <v>7.6175263999999993E-2</v>
      </c>
      <c r="BX68" s="77">
        <v>0.12</v>
      </c>
      <c r="BY68" s="285">
        <v>19.5</v>
      </c>
      <c r="BZ68" s="285">
        <f t="shared" ref="BZ68:BZ69" si="19">14.37+0.25</f>
        <v>14.62</v>
      </c>
      <c r="CA68" s="285">
        <v>6.62</v>
      </c>
      <c r="CB68" s="286">
        <f t="shared" si="14"/>
        <v>1.0921850694444444</v>
      </c>
      <c r="CC68" s="80">
        <v>1.1100000000000001</v>
      </c>
      <c r="CD68" s="80"/>
      <c r="CE68" s="80"/>
      <c r="CF68" s="105" t="s">
        <v>135</v>
      </c>
      <c r="CG68" s="72">
        <v>12</v>
      </c>
      <c r="CH68" s="72">
        <v>6</v>
      </c>
      <c r="CI68" s="72">
        <v>6</v>
      </c>
      <c r="CJ68" s="27">
        <f t="shared" si="15"/>
        <v>432</v>
      </c>
      <c r="CK68" s="287">
        <f t="shared" si="16"/>
        <v>357.79999999999995</v>
      </c>
      <c r="CL68" s="287" t="s">
        <v>2239</v>
      </c>
      <c r="CM68" s="83" t="s">
        <v>151</v>
      </c>
      <c r="CN68" s="71"/>
      <c r="CO68" s="71"/>
    </row>
    <row r="69" spans="1:93" s="1" customFormat="1" x14ac:dyDescent="0.25">
      <c r="A69" s="88">
        <v>42725</v>
      </c>
      <c r="B69" s="73" t="s">
        <v>12</v>
      </c>
      <c r="C69" s="73" t="s">
        <v>2163</v>
      </c>
      <c r="D69" s="73" t="s">
        <v>106</v>
      </c>
      <c r="E69" s="73" t="s">
        <v>59</v>
      </c>
      <c r="F69" s="176" t="s">
        <v>2164</v>
      </c>
      <c r="G69" s="176"/>
      <c r="H69" s="176"/>
      <c r="I69" s="176"/>
      <c r="J69" s="41" t="s">
        <v>2165</v>
      </c>
      <c r="K69" s="85" t="s">
        <v>2166</v>
      </c>
      <c r="L69" s="294"/>
      <c r="M69" s="294"/>
      <c r="N69" s="25"/>
      <c r="O69" s="26"/>
      <c r="P69" s="26"/>
      <c r="Q69" s="2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5" t="s">
        <v>2167</v>
      </c>
      <c r="AO69" s="33"/>
      <c r="AP69" s="25">
        <v>96112</v>
      </c>
      <c r="AQ69" s="33"/>
      <c r="AR69" s="31"/>
      <c r="AS69" s="33"/>
      <c r="AT69" s="25"/>
      <c r="AU69" s="294"/>
      <c r="AV69" s="294" t="s">
        <v>2168</v>
      </c>
      <c r="AW69" s="41"/>
      <c r="AX69" s="294"/>
      <c r="AY69" s="294"/>
      <c r="AZ69" s="294"/>
      <c r="BA69" s="294"/>
      <c r="BB69" s="294"/>
      <c r="BC69" s="294"/>
      <c r="BD69" s="294">
        <v>600112</v>
      </c>
      <c r="BE69" s="31"/>
      <c r="BF69" s="294"/>
      <c r="BG69" s="294">
        <v>56085</v>
      </c>
      <c r="BH69" s="294"/>
      <c r="BI69" s="294">
        <v>56085</v>
      </c>
      <c r="BJ69" s="294" t="s">
        <v>2169</v>
      </c>
      <c r="BK69" s="171">
        <v>73.489999999999995</v>
      </c>
      <c r="BL69" s="103" t="s">
        <v>2240</v>
      </c>
      <c r="BM69" s="103" t="s">
        <v>2241</v>
      </c>
      <c r="BN69" s="98"/>
      <c r="BO69" s="98"/>
      <c r="BP69" s="98"/>
      <c r="BQ69" s="297">
        <v>4.2439999999999998</v>
      </c>
      <c r="BR69" s="297">
        <v>5.65</v>
      </c>
      <c r="BS69" s="77">
        <v>1.45</v>
      </c>
      <c r="BT69" s="288">
        <f t="shared" si="17"/>
        <v>4.6559999999999997</v>
      </c>
      <c r="BU69" s="288">
        <f t="shared" si="17"/>
        <v>4.6559999999999997</v>
      </c>
      <c r="BV69" s="288">
        <f t="shared" si="18"/>
        <v>6.0720000000000001</v>
      </c>
      <c r="BW69" s="286">
        <f t="shared" si="13"/>
        <v>7.6175263999999993E-2</v>
      </c>
      <c r="BX69" s="77">
        <v>0.12</v>
      </c>
      <c r="BY69" s="285">
        <v>19.5</v>
      </c>
      <c r="BZ69" s="285">
        <f t="shared" si="19"/>
        <v>14.62</v>
      </c>
      <c r="CA69" s="285">
        <v>6.62</v>
      </c>
      <c r="CB69" s="286">
        <f t="shared" si="14"/>
        <v>1.0921850694444444</v>
      </c>
      <c r="CC69" s="289">
        <v>1.1100000000000001</v>
      </c>
      <c r="CD69" s="289"/>
      <c r="CE69" s="289"/>
      <c r="CF69" s="105" t="s">
        <v>135</v>
      </c>
      <c r="CG69" s="72">
        <v>12</v>
      </c>
      <c r="CH69" s="72">
        <v>6</v>
      </c>
      <c r="CI69" s="72">
        <v>6</v>
      </c>
      <c r="CJ69" s="27">
        <f t="shared" si="15"/>
        <v>432</v>
      </c>
      <c r="CK69" s="287">
        <f t="shared" si="16"/>
        <v>768.19999999999982</v>
      </c>
      <c r="CL69" s="287" t="s">
        <v>2239</v>
      </c>
      <c r="CM69" s="83" t="s">
        <v>151</v>
      </c>
      <c r="CN69" s="71"/>
      <c r="CO69" s="71"/>
    </row>
    <row r="70" spans="1:93" s="1" customFormat="1" x14ac:dyDescent="0.25">
      <c r="A70" s="88">
        <v>42725</v>
      </c>
      <c r="B70" s="73" t="s">
        <v>12</v>
      </c>
      <c r="C70" s="73" t="s">
        <v>2170</v>
      </c>
      <c r="D70" s="73" t="s">
        <v>106</v>
      </c>
      <c r="E70" s="73" t="s">
        <v>2150</v>
      </c>
      <c r="F70" s="176" t="s">
        <v>2171</v>
      </c>
      <c r="G70" s="176"/>
      <c r="H70" s="176"/>
      <c r="I70" s="176"/>
      <c r="J70" s="41" t="s">
        <v>279</v>
      </c>
      <c r="K70" s="85" t="s">
        <v>2172</v>
      </c>
      <c r="L70" s="294"/>
      <c r="M70" s="294"/>
      <c r="N70" s="25"/>
      <c r="O70" s="26"/>
      <c r="P70" s="26"/>
      <c r="Q70" s="2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5"/>
      <c r="AO70" s="33"/>
      <c r="AP70" s="25">
        <v>86814</v>
      </c>
      <c r="AQ70" s="33"/>
      <c r="AR70" s="31"/>
      <c r="AS70" s="33"/>
      <c r="AT70" s="25"/>
      <c r="AU70" s="294" t="s">
        <v>2173</v>
      </c>
      <c r="AV70" s="294" t="s">
        <v>2174</v>
      </c>
      <c r="AW70" s="41" t="s">
        <v>2175</v>
      </c>
      <c r="AX70" s="294"/>
      <c r="AY70" s="294" t="s">
        <v>2176</v>
      </c>
      <c r="AZ70" s="294"/>
      <c r="BA70" s="294" t="s">
        <v>2177</v>
      </c>
      <c r="BB70" s="294"/>
      <c r="BC70" s="294"/>
      <c r="BD70" s="294">
        <v>3814</v>
      </c>
      <c r="BE70" s="31"/>
      <c r="BF70" s="294"/>
      <c r="BG70" s="294">
        <v>59184</v>
      </c>
      <c r="BH70" s="294"/>
      <c r="BI70" s="294" t="s">
        <v>2170</v>
      </c>
      <c r="BJ70" s="294">
        <v>33814</v>
      </c>
      <c r="BK70" s="171">
        <v>37.950000000000003</v>
      </c>
      <c r="BL70" s="103" t="s">
        <v>2242</v>
      </c>
      <c r="BM70" s="103" t="s">
        <v>2243</v>
      </c>
      <c r="BN70" s="98"/>
      <c r="BO70" s="98"/>
      <c r="BP70" s="98"/>
      <c r="BQ70" s="297">
        <v>2.41</v>
      </c>
      <c r="BR70" s="297">
        <v>6.5</v>
      </c>
      <c r="BS70" s="77">
        <v>0.32</v>
      </c>
      <c r="BT70" s="288">
        <f>2.87+0.036</f>
        <v>2.9060000000000001</v>
      </c>
      <c r="BU70" s="288">
        <f>2.87+0.036</f>
        <v>2.9060000000000001</v>
      </c>
      <c r="BV70" s="288">
        <f>6.62+0.036+0.036</f>
        <v>6.6919999999999993</v>
      </c>
      <c r="BW70" s="286">
        <f t="shared" si="13"/>
        <v>3.270419126851852E-2</v>
      </c>
      <c r="BX70" s="77">
        <v>0.08</v>
      </c>
      <c r="BY70" s="285">
        <v>12.25</v>
      </c>
      <c r="BZ70" s="285">
        <v>9</v>
      </c>
      <c r="CA70" s="285">
        <f>7.38+0.5</f>
        <v>7.88</v>
      </c>
      <c r="CB70" s="286">
        <f t="shared" si="14"/>
        <v>0.50276041666666671</v>
      </c>
      <c r="CC70" s="289">
        <v>0.51</v>
      </c>
      <c r="CD70" s="289"/>
      <c r="CE70" s="289"/>
      <c r="CF70" s="105" t="s">
        <v>135</v>
      </c>
      <c r="CG70" s="72">
        <v>12</v>
      </c>
      <c r="CH70" s="72">
        <v>16</v>
      </c>
      <c r="CI70" s="72">
        <v>5</v>
      </c>
      <c r="CJ70" s="27">
        <f t="shared" si="15"/>
        <v>960</v>
      </c>
      <c r="CK70" s="287">
        <f t="shared" si="16"/>
        <v>474.80000000000007</v>
      </c>
      <c r="CL70" s="287" t="s">
        <v>140</v>
      </c>
      <c r="CM70" s="83" t="s">
        <v>151</v>
      </c>
      <c r="CN70" s="71"/>
      <c r="CO70" s="71"/>
    </row>
    <row r="71" spans="1:93" s="1" customFormat="1" x14ac:dyDescent="0.25">
      <c r="A71" s="88">
        <v>42725</v>
      </c>
      <c r="B71" s="73" t="s">
        <v>12</v>
      </c>
      <c r="C71" s="73" t="s">
        <v>2178</v>
      </c>
      <c r="D71" s="73" t="s">
        <v>106</v>
      </c>
      <c r="E71" s="73" t="s">
        <v>2150</v>
      </c>
      <c r="F71" s="176" t="s">
        <v>2179</v>
      </c>
      <c r="G71" s="176"/>
      <c r="H71" s="176"/>
      <c r="I71" s="176"/>
      <c r="J71" s="41" t="s">
        <v>108</v>
      </c>
      <c r="K71" s="85">
        <v>25993215</v>
      </c>
      <c r="L71" s="294"/>
      <c r="M71" s="294"/>
      <c r="N71" s="25"/>
      <c r="O71" s="26"/>
      <c r="P71" s="26"/>
      <c r="Q71" s="2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5"/>
      <c r="AO71" s="33"/>
      <c r="AP71" s="25">
        <v>86315</v>
      </c>
      <c r="AQ71" s="33"/>
      <c r="AR71" s="31"/>
      <c r="AS71" s="33"/>
      <c r="AT71" s="25"/>
      <c r="AU71" s="294"/>
      <c r="AV71" s="294" t="s">
        <v>2180</v>
      </c>
      <c r="AW71" s="41"/>
      <c r="AX71" s="294"/>
      <c r="AY71" s="294"/>
      <c r="AZ71" s="294"/>
      <c r="BA71" s="294"/>
      <c r="BB71" s="294"/>
      <c r="BC71" s="294"/>
      <c r="BD71" s="294">
        <v>3315</v>
      </c>
      <c r="BE71" s="31"/>
      <c r="BF71" s="294"/>
      <c r="BG71" s="294" t="s">
        <v>2181</v>
      </c>
      <c r="BH71" s="294"/>
      <c r="BI71" s="294" t="s">
        <v>2178</v>
      </c>
      <c r="BJ71" s="294">
        <v>33315</v>
      </c>
      <c r="BK71" s="171">
        <v>27.23</v>
      </c>
      <c r="BL71" s="103" t="s">
        <v>2244</v>
      </c>
      <c r="BM71" s="103" t="s">
        <v>2245</v>
      </c>
      <c r="BN71" s="98"/>
      <c r="BO71" s="98"/>
      <c r="BP71" s="98"/>
      <c r="BQ71" s="297">
        <v>2.19</v>
      </c>
      <c r="BR71" s="297">
        <v>6.14</v>
      </c>
      <c r="BS71" s="77">
        <v>0.35</v>
      </c>
      <c r="BT71" s="288">
        <f>2.37+0.036</f>
        <v>2.4060000000000001</v>
      </c>
      <c r="BU71" s="288">
        <f>2.37+0.036</f>
        <v>2.4060000000000001</v>
      </c>
      <c r="BV71" s="288">
        <f>6.8+0.036+0.036</f>
        <v>6.871999999999999</v>
      </c>
      <c r="BW71" s="286">
        <f t="shared" si="13"/>
        <v>2.3021343166666666E-2</v>
      </c>
      <c r="BX71" s="77">
        <v>0.06</v>
      </c>
      <c r="BY71" s="285">
        <v>10.25</v>
      </c>
      <c r="BZ71" s="285">
        <v>7.75</v>
      </c>
      <c r="CA71" s="285">
        <f>6.62+0.5</f>
        <v>7.12</v>
      </c>
      <c r="CB71" s="286">
        <f t="shared" si="14"/>
        <v>0.32731192129629633</v>
      </c>
      <c r="CC71" s="80">
        <v>0.4</v>
      </c>
      <c r="CD71" s="80"/>
      <c r="CE71" s="80"/>
      <c r="CF71" s="105" t="s">
        <v>135</v>
      </c>
      <c r="CG71" s="72">
        <v>12</v>
      </c>
      <c r="CH71" s="72">
        <v>22</v>
      </c>
      <c r="CI71" s="72">
        <v>6</v>
      </c>
      <c r="CJ71" s="27">
        <f t="shared" si="15"/>
        <v>1584</v>
      </c>
      <c r="CK71" s="287">
        <f t="shared" si="16"/>
        <v>752.24</v>
      </c>
      <c r="CL71" s="287" t="s">
        <v>140</v>
      </c>
      <c r="CM71" s="83" t="s">
        <v>151</v>
      </c>
      <c r="CN71" s="71"/>
      <c r="CO71" s="71"/>
    </row>
    <row r="72" spans="1:93" s="1" customFormat="1" x14ac:dyDescent="0.25">
      <c r="A72" s="88">
        <v>42725</v>
      </c>
      <c r="B72" s="73" t="s">
        <v>12</v>
      </c>
      <c r="C72" s="73" t="s">
        <v>2182</v>
      </c>
      <c r="D72" s="73" t="s">
        <v>106</v>
      </c>
      <c r="E72" s="73" t="s">
        <v>301</v>
      </c>
      <c r="F72" s="296" t="s">
        <v>2183</v>
      </c>
      <c r="G72" s="296"/>
      <c r="H72" s="296"/>
      <c r="I72" s="296"/>
      <c r="J72" s="41" t="s">
        <v>125</v>
      </c>
      <c r="K72" s="85">
        <v>13717582908</v>
      </c>
      <c r="L72" s="294"/>
      <c r="M72" s="294"/>
      <c r="N72" s="25"/>
      <c r="O72" s="26"/>
      <c r="P72" s="26"/>
      <c r="Q72" s="2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5"/>
      <c r="AO72" s="33"/>
      <c r="AP72" s="25">
        <v>83208</v>
      </c>
      <c r="AQ72" s="33"/>
      <c r="AR72" s="31"/>
      <c r="AS72" s="33"/>
      <c r="AT72" s="25"/>
      <c r="AU72" s="294" t="s">
        <v>2184</v>
      </c>
      <c r="AV72" s="294" t="s">
        <v>2185</v>
      </c>
      <c r="AW72" s="41" t="s">
        <v>2186</v>
      </c>
      <c r="AX72" s="294" t="s">
        <v>2187</v>
      </c>
      <c r="AY72" s="294" t="s">
        <v>2188</v>
      </c>
      <c r="AZ72" s="294"/>
      <c r="BA72" s="294" t="s">
        <v>2189</v>
      </c>
      <c r="BB72" s="294"/>
      <c r="BC72" s="294"/>
      <c r="BD72" s="294">
        <v>9208</v>
      </c>
      <c r="BE72" s="31" t="s">
        <v>2190</v>
      </c>
      <c r="BF72" s="294" t="s">
        <v>2191</v>
      </c>
      <c r="BG72" s="294"/>
      <c r="BH72" s="294"/>
      <c r="BI72" s="294"/>
      <c r="BJ72" s="294">
        <v>49208</v>
      </c>
      <c r="BK72" s="171">
        <v>35.229999999999997</v>
      </c>
      <c r="BL72" s="103" t="s">
        <v>2246</v>
      </c>
      <c r="BM72" s="103" t="s">
        <v>2247</v>
      </c>
      <c r="BN72" s="104">
        <v>10.63</v>
      </c>
      <c r="BO72" s="104">
        <v>9.92</v>
      </c>
      <c r="BP72" s="104">
        <v>2.0099999999999998</v>
      </c>
      <c r="BQ72" s="36"/>
      <c r="BR72" s="36"/>
      <c r="BS72" s="77">
        <v>0.62</v>
      </c>
      <c r="BT72" s="288">
        <f>10.68+0.036</f>
        <v>10.715999999999999</v>
      </c>
      <c r="BU72" s="288">
        <f>2.43+0.036</f>
        <v>2.4660000000000002</v>
      </c>
      <c r="BV72" s="286">
        <f>10.68+0.036+0.036</f>
        <v>10.751999999999999</v>
      </c>
      <c r="BW72" s="286">
        <f t="shared" si="13"/>
        <v>0.164426304</v>
      </c>
      <c r="BX72" s="77">
        <v>0.24</v>
      </c>
      <c r="BY72" s="285">
        <v>11.25</v>
      </c>
      <c r="BZ72" s="285">
        <v>8</v>
      </c>
      <c r="CA72" s="285">
        <v>11.5</v>
      </c>
      <c r="CB72" s="286">
        <f t="shared" si="14"/>
        <v>0.59895833333333337</v>
      </c>
      <c r="CC72" s="289">
        <v>0.53</v>
      </c>
      <c r="CD72" s="289"/>
      <c r="CE72" s="289"/>
      <c r="CF72" s="105" t="s">
        <v>135</v>
      </c>
      <c r="CG72" s="72">
        <v>3</v>
      </c>
      <c r="CH72" s="72">
        <v>20</v>
      </c>
      <c r="CI72" s="72">
        <v>3</v>
      </c>
      <c r="CJ72" s="27">
        <f t="shared" si="15"/>
        <v>180</v>
      </c>
      <c r="CK72" s="287">
        <f t="shared" si="16"/>
        <v>236.60000000000002</v>
      </c>
      <c r="CL72" s="27" t="s">
        <v>140</v>
      </c>
      <c r="CM72" s="83" t="s">
        <v>137</v>
      </c>
      <c r="CN72" s="71"/>
      <c r="CO72" s="71"/>
    </row>
    <row r="73" spans="1:93" s="1" customFormat="1" x14ac:dyDescent="0.25">
      <c r="A73" s="88">
        <v>42725</v>
      </c>
      <c r="B73" s="73" t="s">
        <v>12</v>
      </c>
      <c r="C73" s="73" t="s">
        <v>2192</v>
      </c>
      <c r="D73" s="73" t="s">
        <v>106</v>
      </c>
      <c r="E73" s="73" t="s">
        <v>301</v>
      </c>
      <c r="F73" s="296" t="s">
        <v>2193</v>
      </c>
      <c r="G73" s="296"/>
      <c r="H73" s="296"/>
      <c r="I73" s="296"/>
      <c r="J73" s="41" t="s">
        <v>334</v>
      </c>
      <c r="K73" s="85" t="s">
        <v>2194</v>
      </c>
      <c r="L73" s="294"/>
      <c r="M73" s="294"/>
      <c r="N73" s="25"/>
      <c r="O73" s="26"/>
      <c r="P73" s="26"/>
      <c r="Q73" s="2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5" t="s">
        <v>2195</v>
      </c>
      <c r="AO73" s="33"/>
      <c r="AP73" s="25"/>
      <c r="AQ73" s="33"/>
      <c r="AR73" s="31"/>
      <c r="AS73" s="33"/>
      <c r="AT73" s="25"/>
      <c r="AU73" s="294"/>
      <c r="AV73" s="294" t="s">
        <v>2196</v>
      </c>
      <c r="AW73" s="41"/>
      <c r="AX73" s="294" t="s">
        <v>2197</v>
      </c>
      <c r="AY73" s="294"/>
      <c r="AZ73" s="294"/>
      <c r="BA73" s="294"/>
      <c r="BB73" s="294"/>
      <c r="BC73" s="294"/>
      <c r="BD73" s="294">
        <v>200196</v>
      </c>
      <c r="BE73" s="31"/>
      <c r="BF73" s="294"/>
      <c r="BG73" s="294" t="s">
        <v>2198</v>
      </c>
      <c r="BH73" s="294"/>
      <c r="BI73" s="294" t="s">
        <v>2198</v>
      </c>
      <c r="BJ73" s="294" t="s">
        <v>2199</v>
      </c>
      <c r="BK73" s="171">
        <v>28.17</v>
      </c>
      <c r="BL73" s="103" t="s">
        <v>2248</v>
      </c>
      <c r="BM73" s="103" t="s">
        <v>2249</v>
      </c>
      <c r="BN73" s="104">
        <v>10.47</v>
      </c>
      <c r="BO73" s="104">
        <v>7.23</v>
      </c>
      <c r="BP73" s="104">
        <v>1.91</v>
      </c>
      <c r="BQ73" s="36"/>
      <c r="BR73" s="36"/>
      <c r="BS73" s="77">
        <v>0.5</v>
      </c>
      <c r="BT73" s="288">
        <f>7.48+0.036</f>
        <v>7.516</v>
      </c>
      <c r="BU73" s="288">
        <f>2.16+0.036</f>
        <v>2.1960000000000002</v>
      </c>
      <c r="BV73" s="288">
        <f>10.71+0.036+0.036</f>
        <v>10.782</v>
      </c>
      <c r="BW73" s="286">
        <f t="shared" si="13"/>
        <v>0.10298517150000001</v>
      </c>
      <c r="BX73" s="77">
        <v>0.05</v>
      </c>
      <c r="BY73" s="285">
        <f>13.38+0.25</f>
        <v>13.63</v>
      </c>
      <c r="BZ73" s="285">
        <f>10.94+0.25</f>
        <v>11.19</v>
      </c>
      <c r="CA73" s="285">
        <f>7.95+0.5</f>
        <v>8.4499999999999993</v>
      </c>
      <c r="CB73" s="286">
        <f t="shared" si="14"/>
        <v>0.74582839409722212</v>
      </c>
      <c r="CC73" s="80">
        <v>0.15</v>
      </c>
      <c r="CD73" s="80"/>
      <c r="CE73" s="80"/>
      <c r="CF73" s="105" t="s">
        <v>135</v>
      </c>
      <c r="CG73" s="72">
        <v>6</v>
      </c>
      <c r="CH73" s="72">
        <v>11</v>
      </c>
      <c r="CI73" s="72">
        <v>5</v>
      </c>
      <c r="CJ73" s="27">
        <f t="shared" si="15"/>
        <v>330</v>
      </c>
      <c r="CK73" s="287">
        <f t="shared" si="16"/>
        <v>239.75</v>
      </c>
      <c r="CL73" s="27" t="s">
        <v>136</v>
      </c>
      <c r="CM73" s="83" t="s">
        <v>137</v>
      </c>
      <c r="CN73" s="71"/>
      <c r="CO73" s="71"/>
    </row>
    <row r="74" spans="1:93" s="1" customFormat="1" x14ac:dyDescent="0.25">
      <c r="A74" s="88">
        <v>42725</v>
      </c>
      <c r="B74" s="73" t="s">
        <v>12</v>
      </c>
      <c r="C74" s="73" t="s">
        <v>2200</v>
      </c>
      <c r="D74" s="73" t="s">
        <v>106</v>
      </c>
      <c r="E74" s="73" t="s">
        <v>301</v>
      </c>
      <c r="F74" s="176" t="s">
        <v>2201</v>
      </c>
      <c r="G74" s="176"/>
      <c r="H74" s="176"/>
      <c r="I74" s="176"/>
      <c r="J74" s="41" t="s">
        <v>334</v>
      </c>
      <c r="K74" s="85" t="s">
        <v>2202</v>
      </c>
      <c r="L74" s="294"/>
      <c r="M74" s="294"/>
      <c r="N74" s="25"/>
      <c r="O74" s="26"/>
      <c r="P74" s="26"/>
      <c r="Q74" s="2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5" t="s">
        <v>2203</v>
      </c>
      <c r="AO74" s="33"/>
      <c r="AP74" s="25"/>
      <c r="AQ74" s="33"/>
      <c r="AR74" s="31"/>
      <c r="AS74" s="33"/>
      <c r="AT74" s="25"/>
      <c r="AU74" s="294"/>
      <c r="AV74" s="294" t="s">
        <v>2204</v>
      </c>
      <c r="AW74" s="41"/>
      <c r="AX74" s="294"/>
      <c r="AY74" s="294"/>
      <c r="AZ74" s="294"/>
      <c r="BA74" s="294"/>
      <c r="BB74" s="294"/>
      <c r="BC74" s="294"/>
      <c r="BD74" s="294">
        <v>200296</v>
      </c>
      <c r="BE74" s="31"/>
      <c r="BF74" s="294" t="s">
        <v>2205</v>
      </c>
      <c r="BG74" s="294" t="s">
        <v>2206</v>
      </c>
      <c r="BH74" s="294"/>
      <c r="BI74" s="294" t="s">
        <v>2206</v>
      </c>
      <c r="BJ74" s="294" t="s">
        <v>2207</v>
      </c>
      <c r="BK74" s="171">
        <v>17.48</v>
      </c>
      <c r="BL74" s="103" t="s">
        <v>2250</v>
      </c>
      <c r="BM74" s="103" t="s">
        <v>2251</v>
      </c>
      <c r="BN74" s="104">
        <v>11.65</v>
      </c>
      <c r="BO74" s="104">
        <v>7.09</v>
      </c>
      <c r="BP74" s="104">
        <v>1.89</v>
      </c>
      <c r="BQ74" s="36"/>
      <c r="BR74" s="36"/>
      <c r="BS74" s="77">
        <v>0.55000000000000004</v>
      </c>
      <c r="BT74" s="288">
        <f>7.36+0.036</f>
        <v>7.3959999999999999</v>
      </c>
      <c r="BU74" s="288">
        <f>2.32+0.036</f>
        <v>2.3559999999999999</v>
      </c>
      <c r="BV74" s="288">
        <f>12.24+0.072</f>
        <v>12.311999999999999</v>
      </c>
      <c r="BW74" s="286">
        <f t="shared" si="13"/>
        <v>0.124152954</v>
      </c>
      <c r="BX74" s="77">
        <v>0.05</v>
      </c>
      <c r="BY74" s="285">
        <f>14.33+0.25</f>
        <v>14.58</v>
      </c>
      <c r="BZ74" s="285">
        <f>12.48+0.25</f>
        <v>12.73</v>
      </c>
      <c r="CA74" s="285">
        <f>7.83+0.5</f>
        <v>8.33</v>
      </c>
      <c r="CB74" s="286">
        <f t="shared" si="14"/>
        <v>0.89472009375000006</v>
      </c>
      <c r="CC74" s="80">
        <v>0.15</v>
      </c>
      <c r="CD74" s="80"/>
      <c r="CE74" s="80"/>
      <c r="CF74" s="105" t="s">
        <v>135</v>
      </c>
      <c r="CG74" s="72">
        <v>6</v>
      </c>
      <c r="CH74" s="72">
        <v>9</v>
      </c>
      <c r="CI74" s="72">
        <v>5</v>
      </c>
      <c r="CJ74" s="27">
        <f t="shared" si="15"/>
        <v>270</v>
      </c>
      <c r="CK74" s="287">
        <f t="shared" si="16"/>
        <v>218.75000000000003</v>
      </c>
      <c r="CL74" s="27" t="s">
        <v>136</v>
      </c>
      <c r="CM74" s="83" t="s">
        <v>137</v>
      </c>
      <c r="CN74" s="71"/>
      <c r="CO74" s="71"/>
    </row>
    <row r="75" spans="1:93" s="1" customFormat="1" x14ac:dyDescent="0.25">
      <c r="A75" s="88">
        <v>42725</v>
      </c>
      <c r="B75" s="73" t="s">
        <v>12</v>
      </c>
      <c r="C75" s="73" t="s">
        <v>2208</v>
      </c>
      <c r="D75" s="73" t="s">
        <v>106</v>
      </c>
      <c r="E75" s="73" t="s">
        <v>301</v>
      </c>
      <c r="F75" s="176" t="s">
        <v>2209</v>
      </c>
      <c r="G75" s="176"/>
      <c r="H75" s="176"/>
      <c r="I75" s="176"/>
      <c r="J75" s="41" t="s">
        <v>400</v>
      </c>
      <c r="K75" s="85" t="s">
        <v>2210</v>
      </c>
      <c r="L75" s="294"/>
      <c r="M75" s="294"/>
      <c r="N75" s="25"/>
      <c r="O75" s="26"/>
      <c r="P75" s="26"/>
      <c r="Q75" s="2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5"/>
      <c r="AO75" s="33"/>
      <c r="AP75" s="25">
        <v>93085</v>
      </c>
      <c r="AQ75" s="33"/>
      <c r="AR75" s="31"/>
      <c r="AS75" s="33"/>
      <c r="AT75" s="25"/>
      <c r="AU75" s="294"/>
      <c r="AV75" s="294"/>
      <c r="AW75" s="41"/>
      <c r="AX75" s="294" t="s">
        <v>2211</v>
      </c>
      <c r="AY75" s="294"/>
      <c r="AZ75" s="294"/>
      <c r="BA75" s="294"/>
      <c r="BB75" s="294"/>
      <c r="BC75" s="294"/>
      <c r="BD75" s="294">
        <v>200085</v>
      </c>
      <c r="BE75" s="31" t="s">
        <v>2212</v>
      </c>
      <c r="BF75" s="294"/>
      <c r="BG75" s="294" t="s">
        <v>2213</v>
      </c>
      <c r="BH75" s="294"/>
      <c r="BI75" s="294" t="s">
        <v>2213</v>
      </c>
      <c r="BJ75" s="294" t="s">
        <v>2214</v>
      </c>
      <c r="BK75" s="171">
        <v>26.43</v>
      </c>
      <c r="BL75" s="103" t="s">
        <v>2252</v>
      </c>
      <c r="BM75" s="103" t="s">
        <v>2253</v>
      </c>
      <c r="BN75" s="104">
        <v>10.24</v>
      </c>
      <c r="BO75" s="104">
        <v>11.75</v>
      </c>
      <c r="BP75" s="104">
        <v>2.2999999999999998</v>
      </c>
      <c r="BQ75" s="36"/>
      <c r="BR75" s="36"/>
      <c r="BS75" s="77">
        <v>0.95</v>
      </c>
      <c r="BT75" s="288">
        <f>11.02+0.036</f>
        <v>11.055999999999999</v>
      </c>
      <c r="BU75" s="288">
        <f>2.76+0.036</f>
        <v>2.7959999999999998</v>
      </c>
      <c r="BV75" s="288">
        <f>12.076</f>
        <v>12.076000000000001</v>
      </c>
      <c r="BW75" s="286">
        <f t="shared" si="13"/>
        <v>0.21603024755555555</v>
      </c>
      <c r="BX75" s="77">
        <v>0.05</v>
      </c>
      <c r="BY75" s="285">
        <f>16.93+0.25</f>
        <v>17.18</v>
      </c>
      <c r="BZ75" s="285">
        <f>12.24+0.25</f>
        <v>12.49</v>
      </c>
      <c r="CA75" s="285">
        <v>12</v>
      </c>
      <c r="CB75" s="286">
        <f t="shared" si="14"/>
        <v>1.4901263888888889</v>
      </c>
      <c r="CC75" s="80">
        <v>0.15</v>
      </c>
      <c r="CD75" s="80"/>
      <c r="CE75" s="80"/>
      <c r="CF75" s="105" t="s">
        <v>135</v>
      </c>
      <c r="CG75" s="72">
        <v>6</v>
      </c>
      <c r="CH75" s="72">
        <v>7</v>
      </c>
      <c r="CI75" s="72">
        <v>3</v>
      </c>
      <c r="CJ75" s="27">
        <f t="shared" si="15"/>
        <v>126</v>
      </c>
      <c r="CK75" s="287">
        <f t="shared" si="16"/>
        <v>179.15</v>
      </c>
      <c r="CL75" s="27" t="s">
        <v>136</v>
      </c>
      <c r="CM75" s="83" t="s">
        <v>137</v>
      </c>
      <c r="CN75" s="71"/>
      <c r="CO75" s="71"/>
    </row>
    <row r="76" spans="1:93" s="1" customFormat="1" x14ac:dyDescent="0.25">
      <c r="A76" s="88">
        <v>42725</v>
      </c>
      <c r="B76" s="73" t="s">
        <v>12</v>
      </c>
      <c r="C76" s="73" t="s">
        <v>2215</v>
      </c>
      <c r="D76" s="73" t="s">
        <v>106</v>
      </c>
      <c r="E76" s="73" t="s">
        <v>2216</v>
      </c>
      <c r="F76" s="176" t="s">
        <v>2217</v>
      </c>
      <c r="G76" s="176"/>
      <c r="H76" s="176"/>
      <c r="I76" s="176"/>
      <c r="J76" s="41" t="s">
        <v>334</v>
      </c>
      <c r="K76" s="85" t="s">
        <v>2218</v>
      </c>
      <c r="L76" s="294"/>
      <c r="M76" s="294"/>
      <c r="N76" s="25"/>
      <c r="O76" s="26"/>
      <c r="P76" s="26"/>
      <c r="Q76" s="2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5"/>
      <c r="AO76" s="33"/>
      <c r="AP76" s="25"/>
      <c r="AQ76" s="33"/>
      <c r="AR76" s="31"/>
      <c r="AS76" s="33"/>
      <c r="AT76" s="25"/>
      <c r="AU76" s="294"/>
      <c r="AV76" s="294"/>
      <c r="AW76" s="41"/>
      <c r="AX76" s="294"/>
      <c r="AY76" s="294"/>
      <c r="AZ76" s="294"/>
      <c r="BA76" s="294"/>
      <c r="BB76" s="294"/>
      <c r="BC76" s="294"/>
      <c r="BD76" s="294"/>
      <c r="BE76" s="31"/>
      <c r="BF76" s="294"/>
      <c r="BG76" s="294">
        <v>56086</v>
      </c>
      <c r="BH76" s="294"/>
      <c r="BI76" s="294">
        <v>56086</v>
      </c>
      <c r="BJ76" s="294"/>
      <c r="BK76" s="171">
        <v>42.24</v>
      </c>
      <c r="BL76" s="103" t="s">
        <v>2254</v>
      </c>
      <c r="BM76" s="103" t="s">
        <v>2255</v>
      </c>
      <c r="BN76" s="98"/>
      <c r="BO76" s="98"/>
      <c r="BP76" s="98"/>
      <c r="BQ76" s="293">
        <v>2.91</v>
      </c>
      <c r="BR76" s="293">
        <v>5.35</v>
      </c>
      <c r="BS76" s="77">
        <v>0.25</v>
      </c>
      <c r="BT76" s="288">
        <f>3.15+0.036</f>
        <v>3.1859999999999999</v>
      </c>
      <c r="BU76" s="288">
        <f>3.15+0.036</f>
        <v>3.1859999999999999</v>
      </c>
      <c r="BV76" s="288">
        <v>6.0720000000000001</v>
      </c>
      <c r="BW76" s="286">
        <f t="shared" si="13"/>
        <v>3.5668066499999998E-2</v>
      </c>
      <c r="BX76" s="77">
        <v>7.0000000000000007E-2</v>
      </c>
      <c r="BY76" s="285">
        <v>13.25</v>
      </c>
      <c r="BZ76" s="285">
        <v>10</v>
      </c>
      <c r="CA76" s="285">
        <v>6.62</v>
      </c>
      <c r="CB76" s="285">
        <f t="shared" si="14"/>
        <v>0.50760995370370376</v>
      </c>
      <c r="CC76" s="80">
        <v>0.59</v>
      </c>
      <c r="CD76" s="80"/>
      <c r="CE76" s="80"/>
      <c r="CF76" s="105" t="s">
        <v>135</v>
      </c>
      <c r="CG76" s="72">
        <v>12</v>
      </c>
      <c r="CH76" s="72">
        <v>14</v>
      </c>
      <c r="CI76" s="72">
        <v>6</v>
      </c>
      <c r="CJ76" s="27">
        <f t="shared" si="15"/>
        <v>1008</v>
      </c>
      <c r="CK76" s="287">
        <f t="shared" si="16"/>
        <v>422.12</v>
      </c>
      <c r="CL76" s="27" t="s">
        <v>2239</v>
      </c>
      <c r="CM76" s="83" t="s">
        <v>151</v>
      </c>
      <c r="CN76" s="71"/>
      <c r="CO76" s="71"/>
    </row>
    <row r="77" spans="1:93" s="1" customFormat="1" ht="30" x14ac:dyDescent="0.25">
      <c r="A77" s="88">
        <v>42629</v>
      </c>
      <c r="B77" s="101" t="s">
        <v>12</v>
      </c>
      <c r="C77" s="101" t="s">
        <v>1996</v>
      </c>
      <c r="D77" s="101" t="s">
        <v>54</v>
      </c>
      <c r="E77" s="101" t="s">
        <v>59</v>
      </c>
      <c r="F77" s="84" t="s">
        <v>1997</v>
      </c>
      <c r="G77" s="84"/>
      <c r="H77" s="84"/>
      <c r="I77" s="84"/>
      <c r="J77" s="41" t="s">
        <v>706</v>
      </c>
      <c r="K77" s="41" t="s">
        <v>1998</v>
      </c>
      <c r="L77" s="41"/>
      <c r="M77" s="292"/>
      <c r="N77" s="25"/>
      <c r="O77" s="26"/>
      <c r="P77" s="26"/>
      <c r="Q77" s="26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25"/>
      <c r="AO77" s="33"/>
      <c r="AP77" s="25"/>
      <c r="AQ77" s="33"/>
      <c r="AR77" s="31"/>
      <c r="AS77" s="33"/>
      <c r="AT77" s="25"/>
      <c r="AU77" s="75"/>
      <c r="AV77" s="292"/>
      <c r="AW77" s="41"/>
      <c r="AX77" s="292"/>
      <c r="AY77" s="292"/>
      <c r="AZ77" s="292"/>
      <c r="BA77" s="292"/>
      <c r="BB77" s="292"/>
      <c r="BC77" s="292"/>
      <c r="BD77" s="292"/>
      <c r="BE77" s="31"/>
      <c r="BF77" s="292"/>
      <c r="BG77" s="292"/>
      <c r="BH77" s="292"/>
      <c r="BI77" s="292"/>
      <c r="BJ77" s="75"/>
      <c r="BK77" s="76">
        <v>157.58000000000001</v>
      </c>
      <c r="BL77" s="103" t="s">
        <v>2060</v>
      </c>
      <c r="BM77" s="103" t="s">
        <v>2061</v>
      </c>
      <c r="BN77" s="36"/>
      <c r="BO77" s="36"/>
      <c r="BP77" s="36"/>
      <c r="BQ77" s="77">
        <v>3.93</v>
      </c>
      <c r="BR77" s="77">
        <v>11</v>
      </c>
      <c r="BS77" s="77">
        <v>2.2000000000000002</v>
      </c>
      <c r="BT77" s="489" t="s">
        <v>2062</v>
      </c>
      <c r="BU77" s="490"/>
      <c r="BV77" s="490"/>
      <c r="BW77" s="490"/>
      <c r="BX77" s="491"/>
      <c r="BY77" s="285">
        <v>18</v>
      </c>
      <c r="BZ77" s="285">
        <v>13.75</v>
      </c>
      <c r="CA77" s="285">
        <v>14</v>
      </c>
      <c r="CB77" s="286">
        <f>(BY77/12)*(BZ77/12)*(CA77/12)</f>
        <v>2.0052083333333335</v>
      </c>
      <c r="CC77" s="80">
        <v>1.1000000000000001</v>
      </c>
      <c r="CD77" s="80"/>
      <c r="CE77" s="80"/>
      <c r="CF77" s="105" t="s">
        <v>135</v>
      </c>
      <c r="CG77" s="72">
        <v>12</v>
      </c>
      <c r="CH77" s="72">
        <v>6</v>
      </c>
      <c r="CI77" s="72">
        <v>3</v>
      </c>
      <c r="CJ77" s="27">
        <f t="shared" ref="CJ77:CJ88" si="20">CG77*CH77*CI77</f>
        <v>216</v>
      </c>
      <c r="CK77" s="287">
        <f>(CJ77*CC77*BS77)+150</f>
        <v>672.72000000000014</v>
      </c>
      <c r="CL77" s="27" t="s">
        <v>367</v>
      </c>
      <c r="CM77" s="83" t="s">
        <v>151</v>
      </c>
      <c r="CN77" s="71"/>
      <c r="CO77" s="71"/>
    </row>
    <row r="78" spans="1:93" s="1" customFormat="1" x14ac:dyDescent="0.25">
      <c r="A78" s="88">
        <v>42629</v>
      </c>
      <c r="B78" s="101" t="s">
        <v>12</v>
      </c>
      <c r="C78" s="72" t="s">
        <v>1999</v>
      </c>
      <c r="D78" s="73" t="s">
        <v>106</v>
      </c>
      <c r="E78" s="73" t="s">
        <v>72</v>
      </c>
      <c r="F78" s="46" t="s">
        <v>2000</v>
      </c>
      <c r="G78" s="46"/>
      <c r="H78" s="46"/>
      <c r="I78" s="46"/>
      <c r="J78" s="46" t="s">
        <v>236</v>
      </c>
      <c r="K78" s="41" t="s">
        <v>2001</v>
      </c>
      <c r="L78" s="292"/>
      <c r="M78" s="292"/>
      <c r="N78" s="25"/>
      <c r="O78" s="26"/>
      <c r="P78" s="26"/>
      <c r="Q78" s="26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25"/>
      <c r="AO78" s="33"/>
      <c r="AP78" s="25">
        <v>93050</v>
      </c>
      <c r="AQ78" s="33"/>
      <c r="AR78" s="31"/>
      <c r="AS78" s="33"/>
      <c r="AT78" s="25"/>
      <c r="AU78" s="75" t="s">
        <v>2002</v>
      </c>
      <c r="AV78" s="292" t="s">
        <v>2003</v>
      </c>
      <c r="AW78" s="41"/>
      <c r="AX78" s="292" t="s">
        <v>2004</v>
      </c>
      <c r="AY78" s="292"/>
      <c r="AZ78" s="292"/>
      <c r="BA78" s="292"/>
      <c r="BB78" s="292"/>
      <c r="BC78" s="75"/>
      <c r="BD78" s="292"/>
      <c r="BE78" s="75" t="s">
        <v>2005</v>
      </c>
      <c r="BF78" s="292"/>
      <c r="BG78" s="292" t="s">
        <v>2006</v>
      </c>
      <c r="BH78" s="292"/>
      <c r="BI78" s="292" t="s">
        <v>2007</v>
      </c>
      <c r="BJ78" s="75" t="s">
        <v>2008</v>
      </c>
      <c r="BK78" s="76">
        <v>23.17</v>
      </c>
      <c r="BL78" s="103" t="s">
        <v>2063</v>
      </c>
      <c r="BM78" s="103" t="s">
        <v>2064</v>
      </c>
      <c r="BN78" s="104">
        <v>11.53</v>
      </c>
      <c r="BO78" s="104">
        <v>6.89</v>
      </c>
      <c r="BP78" s="104">
        <v>1.73</v>
      </c>
      <c r="BQ78" s="36"/>
      <c r="BR78" s="36"/>
      <c r="BS78" s="77">
        <v>0.69</v>
      </c>
      <c r="BT78" s="288">
        <v>7.0359999999999996</v>
      </c>
      <c r="BU78" s="288">
        <v>2.536</v>
      </c>
      <c r="BV78" s="286">
        <f>11.75+0.036+0.036</f>
        <v>11.821999999999999</v>
      </c>
      <c r="BW78" s="286">
        <f t="shared" ref="BW78:BW88" si="21">(BV78*BU78*BT78)/1728</f>
        <v>0.12207375307407406</v>
      </c>
      <c r="BX78" s="77">
        <v>0.19</v>
      </c>
      <c r="BY78" s="285">
        <v>12.25</v>
      </c>
      <c r="BZ78" s="285">
        <v>7.5</v>
      </c>
      <c r="CA78" s="285">
        <v>8.5</v>
      </c>
      <c r="CB78" s="286">
        <f t="shared" ref="CB78:CB88" si="22">(CA78*BZ78*BY78)/1728</f>
        <v>0.4519314236111111</v>
      </c>
      <c r="CC78" s="289">
        <v>0.44</v>
      </c>
      <c r="CD78" s="289"/>
      <c r="CE78" s="289"/>
      <c r="CF78" s="105" t="s">
        <v>135</v>
      </c>
      <c r="CG78" s="72">
        <v>3</v>
      </c>
      <c r="CH78" s="72">
        <v>20</v>
      </c>
      <c r="CI78" s="72">
        <v>5</v>
      </c>
      <c r="CJ78" s="27">
        <f t="shared" si="20"/>
        <v>300</v>
      </c>
      <c r="CK78" s="287">
        <f t="shared" ref="CK78:CK88" si="23">((((BS78+BX78)*CG78)+CC78)*CH78*CI78)+50</f>
        <v>358</v>
      </c>
      <c r="CL78" s="27" t="s">
        <v>140</v>
      </c>
      <c r="CM78" s="83" t="s">
        <v>137</v>
      </c>
      <c r="CN78" s="71"/>
      <c r="CO78" s="71"/>
    </row>
    <row r="79" spans="1:93" s="1" customFormat="1" x14ac:dyDescent="0.25">
      <c r="A79" s="88">
        <v>42629</v>
      </c>
      <c r="B79" s="101" t="s">
        <v>12</v>
      </c>
      <c r="C79" s="72" t="s">
        <v>2009</v>
      </c>
      <c r="D79" s="73" t="s">
        <v>106</v>
      </c>
      <c r="E79" s="73" t="s">
        <v>301</v>
      </c>
      <c r="F79" s="46" t="s">
        <v>2010</v>
      </c>
      <c r="G79" s="46"/>
      <c r="H79" s="46"/>
      <c r="I79" s="46"/>
      <c r="J79" s="46" t="s">
        <v>465</v>
      </c>
      <c r="K79" s="41">
        <v>2760940004</v>
      </c>
      <c r="L79" s="292"/>
      <c r="M79" s="292"/>
      <c r="N79" s="25"/>
      <c r="O79" s="26"/>
      <c r="P79" s="26"/>
      <c r="Q79" s="26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25"/>
      <c r="AO79" s="33"/>
      <c r="AP79" s="25">
        <v>83034</v>
      </c>
      <c r="AQ79" s="33"/>
      <c r="AR79" s="31"/>
      <c r="AS79" s="33"/>
      <c r="AT79" s="25"/>
      <c r="AU79" s="75" t="s">
        <v>2011</v>
      </c>
      <c r="AV79" s="24" t="s">
        <v>2012</v>
      </c>
      <c r="AW79" s="41" t="s">
        <v>2013</v>
      </c>
      <c r="AX79" s="292"/>
      <c r="AY79" s="292" t="s">
        <v>2014</v>
      </c>
      <c r="AZ79" s="292"/>
      <c r="BA79" s="292" t="s">
        <v>2015</v>
      </c>
      <c r="BB79" s="292"/>
      <c r="BC79" s="292"/>
      <c r="BD79" s="292">
        <v>9034</v>
      </c>
      <c r="BE79" s="24"/>
      <c r="BF79" s="292" t="s">
        <v>2016</v>
      </c>
      <c r="BG79" s="292" t="s">
        <v>2017</v>
      </c>
      <c r="BH79" s="292"/>
      <c r="BI79" s="292" t="s">
        <v>2017</v>
      </c>
      <c r="BJ79" s="75">
        <v>49034</v>
      </c>
      <c r="BK79" s="295">
        <v>47.9</v>
      </c>
      <c r="BL79" s="103" t="s">
        <v>2065</v>
      </c>
      <c r="BM79" s="103" t="s">
        <v>2066</v>
      </c>
      <c r="BN79" s="104">
        <v>16.7</v>
      </c>
      <c r="BO79" s="104">
        <v>7.9210000000000003</v>
      </c>
      <c r="BP79" s="104">
        <v>1.101</v>
      </c>
      <c r="BQ79" s="36"/>
      <c r="BR79" s="36"/>
      <c r="BS79" s="77">
        <v>1.1240000000000001</v>
      </c>
      <c r="BT79" s="288">
        <f>10.75+0.036</f>
        <v>10.786</v>
      </c>
      <c r="BU79" s="288">
        <f>1.75+0.036</f>
        <v>1.786</v>
      </c>
      <c r="BV79" s="286">
        <f>17.62+0.036+0.036</f>
        <v>17.692000000000004</v>
      </c>
      <c r="BW79" s="286">
        <f t="shared" si="21"/>
        <v>0.1972309483981482</v>
      </c>
      <c r="BX79" s="77">
        <v>0.31</v>
      </c>
      <c r="BY79" s="285">
        <f>17.87+0.25</f>
        <v>18.12</v>
      </c>
      <c r="BZ79" s="285">
        <v>12.25</v>
      </c>
      <c r="CA79" s="285">
        <v>6.62</v>
      </c>
      <c r="CB79" s="286">
        <f t="shared" si="22"/>
        <v>0.85037118055555561</v>
      </c>
      <c r="CC79" s="289">
        <v>0.81</v>
      </c>
      <c r="CD79" s="289"/>
      <c r="CE79" s="289"/>
      <c r="CF79" s="105" t="s">
        <v>135</v>
      </c>
      <c r="CG79" s="72">
        <v>3</v>
      </c>
      <c r="CH79" s="72">
        <v>7</v>
      </c>
      <c r="CI79" s="72">
        <v>6</v>
      </c>
      <c r="CJ79" s="27">
        <f t="shared" si="20"/>
        <v>126</v>
      </c>
      <c r="CK79" s="287">
        <f t="shared" si="23"/>
        <v>264.70400000000001</v>
      </c>
      <c r="CL79" s="27" t="s">
        <v>140</v>
      </c>
      <c r="CM79" s="83" t="s">
        <v>137</v>
      </c>
      <c r="CN79" s="71"/>
      <c r="CO79" s="71"/>
    </row>
    <row r="80" spans="1:93" s="1" customFormat="1" x14ac:dyDescent="0.25">
      <c r="A80" s="88">
        <v>42629</v>
      </c>
      <c r="B80" s="101" t="s">
        <v>12</v>
      </c>
      <c r="C80" s="73" t="s">
        <v>2018</v>
      </c>
      <c r="D80" s="73" t="s">
        <v>106</v>
      </c>
      <c r="E80" s="73" t="s">
        <v>72</v>
      </c>
      <c r="F80" s="84" t="s">
        <v>2019</v>
      </c>
      <c r="G80" s="84"/>
      <c r="H80" s="84"/>
      <c r="I80" s="84"/>
      <c r="J80" s="41" t="s">
        <v>279</v>
      </c>
      <c r="K80" s="85" t="s">
        <v>2020</v>
      </c>
      <c r="L80" s="292" t="s">
        <v>44</v>
      </c>
      <c r="M80" s="292" t="s">
        <v>2021</v>
      </c>
      <c r="N80" s="25"/>
      <c r="O80" s="26"/>
      <c r="P80" s="26"/>
      <c r="Q80" s="26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25"/>
      <c r="AO80" s="33"/>
      <c r="AP80" s="25">
        <v>83013</v>
      </c>
      <c r="AQ80" s="33"/>
      <c r="AR80" s="31"/>
      <c r="AS80" s="33"/>
      <c r="AT80" s="25"/>
      <c r="AU80" s="75" t="s">
        <v>2022</v>
      </c>
      <c r="AV80" s="292" t="s">
        <v>2023</v>
      </c>
      <c r="AW80" s="41"/>
      <c r="AX80" s="292"/>
      <c r="AY80" s="292"/>
      <c r="AZ80" s="292"/>
      <c r="BA80" s="292" t="s">
        <v>2024</v>
      </c>
      <c r="BB80" s="292"/>
      <c r="BC80" s="292"/>
      <c r="BD80" s="292"/>
      <c r="BE80" s="31"/>
      <c r="BF80" s="292" t="s">
        <v>2025</v>
      </c>
      <c r="BG80" s="292" t="s">
        <v>2026</v>
      </c>
      <c r="BH80" s="292"/>
      <c r="BI80" s="292" t="s">
        <v>2026</v>
      </c>
      <c r="BJ80" s="75">
        <v>49013</v>
      </c>
      <c r="BK80" s="76">
        <v>31.52</v>
      </c>
      <c r="BL80" s="103" t="s">
        <v>2067</v>
      </c>
      <c r="BM80" s="103" t="s">
        <v>2068</v>
      </c>
      <c r="BN80" s="98"/>
      <c r="BO80" s="98"/>
      <c r="BP80" s="98"/>
      <c r="BQ80" s="291">
        <v>5.39</v>
      </c>
      <c r="BR80" s="291">
        <v>8.69</v>
      </c>
      <c r="BS80" s="77">
        <v>0.62</v>
      </c>
      <c r="BT80" s="288">
        <v>6.0359999999999996</v>
      </c>
      <c r="BU80" s="288">
        <v>6.0359999999999996</v>
      </c>
      <c r="BV80" s="288">
        <f>9+0.036+0.036</f>
        <v>9.0719999999999992</v>
      </c>
      <c r="BW80" s="286">
        <f t="shared" si="21"/>
        <v>0.19127480399999996</v>
      </c>
      <c r="BX80" s="77">
        <v>0.1</v>
      </c>
      <c r="BY80" s="285">
        <v>18.75</v>
      </c>
      <c r="BZ80" s="285">
        <v>6.75</v>
      </c>
      <c r="CA80" s="285">
        <v>9.6199999999999992</v>
      </c>
      <c r="CB80" s="286">
        <f t="shared" si="22"/>
        <v>0.70458984374999989</v>
      </c>
      <c r="CC80" s="289">
        <v>0.59</v>
      </c>
      <c r="CD80" s="289"/>
      <c r="CE80" s="289"/>
      <c r="CF80" s="105" t="s">
        <v>135</v>
      </c>
      <c r="CG80" s="72">
        <v>3</v>
      </c>
      <c r="CH80" s="72">
        <v>10</v>
      </c>
      <c r="CI80" s="72">
        <v>6</v>
      </c>
      <c r="CJ80" s="27">
        <f t="shared" si="20"/>
        <v>180</v>
      </c>
      <c r="CK80" s="287">
        <f t="shared" si="23"/>
        <v>215</v>
      </c>
      <c r="CL80" s="27" t="s">
        <v>140</v>
      </c>
      <c r="CM80" s="83" t="s">
        <v>137</v>
      </c>
      <c r="CN80" s="71"/>
      <c r="CO80" s="71"/>
    </row>
    <row r="81" spans="1:93" s="1" customFormat="1" x14ac:dyDescent="0.25">
      <c r="A81" s="88">
        <v>42629</v>
      </c>
      <c r="B81" s="101" t="s">
        <v>12</v>
      </c>
      <c r="C81" s="73" t="s">
        <v>2027</v>
      </c>
      <c r="D81" s="73" t="s">
        <v>106</v>
      </c>
      <c r="E81" s="73" t="s">
        <v>72</v>
      </c>
      <c r="F81" s="90" t="s">
        <v>2028</v>
      </c>
      <c r="G81" s="90"/>
      <c r="H81" s="90"/>
      <c r="I81" s="90"/>
      <c r="J81" s="46" t="s">
        <v>125</v>
      </c>
      <c r="K81" s="41">
        <v>13718507320</v>
      </c>
      <c r="L81" s="292" t="s">
        <v>125</v>
      </c>
      <c r="M81" s="292">
        <v>13717630911</v>
      </c>
      <c r="N81" s="292" t="s">
        <v>2029</v>
      </c>
      <c r="O81" s="292" t="s">
        <v>2030</v>
      </c>
      <c r="P81" s="26"/>
      <c r="Q81" s="26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25"/>
      <c r="AO81" s="33"/>
      <c r="AP81" s="25">
        <v>93005</v>
      </c>
      <c r="AQ81" s="33"/>
      <c r="AR81" s="31"/>
      <c r="AS81" s="33"/>
      <c r="AT81" s="25"/>
      <c r="AU81" s="75" t="s">
        <v>2031</v>
      </c>
      <c r="AV81" s="292" t="s">
        <v>2032</v>
      </c>
      <c r="AW81" s="41" t="s">
        <v>2033</v>
      </c>
      <c r="AX81" s="292"/>
      <c r="AY81" s="292" t="s">
        <v>2034</v>
      </c>
      <c r="AZ81" s="292"/>
      <c r="BA81" s="292" t="s">
        <v>2035</v>
      </c>
      <c r="BB81" s="292"/>
      <c r="BC81" s="292"/>
      <c r="BD81" s="292">
        <v>200005</v>
      </c>
      <c r="BE81" s="31"/>
      <c r="BF81" s="292"/>
      <c r="BG81" s="292" t="s">
        <v>2036</v>
      </c>
      <c r="BH81" s="292"/>
      <c r="BI81" s="292" t="s">
        <v>2036</v>
      </c>
      <c r="BJ81" s="75" t="s">
        <v>2037</v>
      </c>
      <c r="BK81" s="76">
        <v>29.04</v>
      </c>
      <c r="BL81" s="103" t="s">
        <v>2069</v>
      </c>
      <c r="BM81" s="103" t="s">
        <v>2070</v>
      </c>
      <c r="BN81" s="104">
        <v>8.92</v>
      </c>
      <c r="BO81" s="104">
        <v>8.01</v>
      </c>
      <c r="BP81" s="104">
        <v>1.62</v>
      </c>
      <c r="BQ81" s="36"/>
      <c r="BR81" s="36"/>
      <c r="BS81" s="77">
        <v>0.32</v>
      </c>
      <c r="BT81" s="288">
        <f>8.5+0.18+0.18</f>
        <v>8.86</v>
      </c>
      <c r="BU81" s="288">
        <f>2.37+0.036</f>
        <v>2.4060000000000001</v>
      </c>
      <c r="BV81" s="286">
        <f>10.62+0.036+0.036</f>
        <v>10.691999999999998</v>
      </c>
      <c r="BW81" s="286">
        <f t="shared" si="21"/>
        <v>0.13189992749999999</v>
      </c>
      <c r="BX81" s="77">
        <v>0.2</v>
      </c>
      <c r="BY81" s="285">
        <v>12.5</v>
      </c>
      <c r="BZ81" s="285">
        <v>10.5</v>
      </c>
      <c r="CA81" s="285">
        <v>8.25</v>
      </c>
      <c r="CB81" s="286">
        <f t="shared" si="22"/>
        <v>0.62662760416666663</v>
      </c>
      <c r="CC81" s="289">
        <v>0.59</v>
      </c>
      <c r="CD81" s="289"/>
      <c r="CE81" s="289"/>
      <c r="CF81" s="105" t="s">
        <v>135</v>
      </c>
      <c r="CG81" s="72">
        <v>3</v>
      </c>
      <c r="CH81" s="72">
        <v>12</v>
      </c>
      <c r="CI81" s="72">
        <v>5</v>
      </c>
      <c r="CJ81" s="27">
        <f t="shared" si="20"/>
        <v>180</v>
      </c>
      <c r="CK81" s="287">
        <f t="shared" si="23"/>
        <v>179</v>
      </c>
      <c r="CL81" s="27" t="s">
        <v>322</v>
      </c>
      <c r="CM81" s="83" t="s">
        <v>137</v>
      </c>
      <c r="CN81" s="71"/>
      <c r="CO81" s="71"/>
    </row>
    <row r="82" spans="1:93" s="1" customFormat="1" x14ac:dyDescent="0.25">
      <c r="A82" s="88">
        <v>42629</v>
      </c>
      <c r="B82" s="101" t="s">
        <v>12</v>
      </c>
      <c r="C82" s="73" t="s">
        <v>2079</v>
      </c>
      <c r="D82" s="73" t="s">
        <v>106</v>
      </c>
      <c r="E82" s="73" t="s">
        <v>72</v>
      </c>
      <c r="F82" s="84" t="s">
        <v>2080</v>
      </c>
      <c r="G82" s="84"/>
      <c r="H82" s="84"/>
      <c r="I82" s="84"/>
      <c r="J82" s="46" t="s">
        <v>279</v>
      </c>
      <c r="K82" s="41" t="s">
        <v>2081</v>
      </c>
      <c r="L82" s="46" t="s">
        <v>279</v>
      </c>
      <c r="M82" s="41" t="s">
        <v>2082</v>
      </c>
      <c r="N82" s="46" t="s">
        <v>279</v>
      </c>
      <c r="O82" s="41" t="s">
        <v>2081</v>
      </c>
      <c r="P82" s="46" t="s">
        <v>279</v>
      </c>
      <c r="Q82" s="41" t="s">
        <v>2083</v>
      </c>
      <c r="R82" s="46" t="s">
        <v>279</v>
      </c>
      <c r="S82" s="41" t="s">
        <v>2084</v>
      </c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25"/>
      <c r="AO82" s="33"/>
      <c r="AP82" s="25"/>
      <c r="AQ82" s="33"/>
      <c r="AR82" s="31"/>
      <c r="AS82" s="33"/>
      <c r="AT82" s="25"/>
      <c r="AU82" s="75"/>
      <c r="AV82" s="292"/>
      <c r="AW82" s="41" t="s">
        <v>2085</v>
      </c>
      <c r="AX82" s="292"/>
      <c r="AY82" s="292" t="s">
        <v>2086</v>
      </c>
      <c r="AZ82" s="292"/>
      <c r="BA82" s="292" t="s">
        <v>2087</v>
      </c>
      <c r="BB82" s="292"/>
      <c r="BC82" s="292"/>
      <c r="BD82" s="292"/>
      <c r="BE82" s="31"/>
      <c r="BF82" s="292"/>
      <c r="BG82" s="292"/>
      <c r="BH82" s="292"/>
      <c r="BI82" s="292"/>
      <c r="BJ82" s="75"/>
      <c r="BK82" s="76">
        <v>22.44</v>
      </c>
      <c r="BL82" s="103" t="s">
        <v>2094</v>
      </c>
      <c r="BM82" s="103" t="s">
        <v>2095</v>
      </c>
      <c r="BN82" s="98">
        <v>9.1300000000000008</v>
      </c>
      <c r="BO82" s="98">
        <v>4.57</v>
      </c>
      <c r="BP82" s="98">
        <v>2.44</v>
      </c>
      <c r="BQ82" s="291"/>
      <c r="BR82" s="291"/>
      <c r="BS82" s="77">
        <v>1.02</v>
      </c>
      <c r="BT82" s="288" t="s">
        <v>2096</v>
      </c>
      <c r="BU82" s="288" t="s">
        <v>2096</v>
      </c>
      <c r="BV82" s="288" t="s">
        <v>2096</v>
      </c>
      <c r="BW82" s="286" t="s">
        <v>2096</v>
      </c>
      <c r="BX82" s="77" t="s">
        <v>2096</v>
      </c>
      <c r="BY82" s="285">
        <v>10</v>
      </c>
      <c r="BZ82" s="285">
        <v>5.25</v>
      </c>
      <c r="CA82" s="285">
        <v>9.3699999999999992</v>
      </c>
      <c r="CB82" s="286">
        <f>(BY82*BZ82*CA82)/1728</f>
        <v>0.2846788194444444</v>
      </c>
      <c r="CC82" s="289">
        <v>3.36</v>
      </c>
      <c r="CD82" s="289"/>
      <c r="CE82" s="289"/>
      <c r="CF82" s="105"/>
      <c r="CG82" s="72">
        <v>3</v>
      </c>
      <c r="CH82" s="72">
        <v>32</v>
      </c>
      <c r="CI82" s="72">
        <v>4</v>
      </c>
      <c r="CJ82" s="72">
        <v>384</v>
      </c>
      <c r="CK82" s="72">
        <v>519</v>
      </c>
      <c r="CL82" s="72" t="s">
        <v>140</v>
      </c>
      <c r="CM82" s="83"/>
      <c r="CN82" s="71"/>
      <c r="CO82" s="71"/>
    </row>
    <row r="83" spans="1:93" s="1" customFormat="1" x14ac:dyDescent="0.25">
      <c r="A83" s="88">
        <v>42629</v>
      </c>
      <c r="B83" s="101" t="s">
        <v>12</v>
      </c>
      <c r="C83" s="73" t="s">
        <v>2088</v>
      </c>
      <c r="D83" s="73" t="s">
        <v>106</v>
      </c>
      <c r="E83" s="73" t="s">
        <v>72</v>
      </c>
      <c r="F83" s="84" t="s">
        <v>2089</v>
      </c>
      <c r="G83" s="84"/>
      <c r="H83" s="84"/>
      <c r="I83" s="84"/>
      <c r="J83" s="46" t="s">
        <v>334</v>
      </c>
      <c r="K83" s="41" t="s">
        <v>2090</v>
      </c>
      <c r="L83" s="292"/>
      <c r="M83" s="292"/>
      <c r="N83" s="292"/>
      <c r="O83" s="292"/>
      <c r="P83" s="26"/>
      <c r="Q83" s="26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25" t="s">
        <v>2091</v>
      </c>
      <c r="AO83" s="33"/>
      <c r="AP83" s="25"/>
      <c r="AQ83" s="33"/>
      <c r="AR83" s="31"/>
      <c r="AS83" s="33"/>
      <c r="AT83" s="25"/>
      <c r="AU83" s="75"/>
      <c r="AV83" s="292"/>
      <c r="AW83" s="41"/>
      <c r="AX83" s="292"/>
      <c r="AY83" s="292"/>
      <c r="AZ83" s="292"/>
      <c r="BA83" s="292"/>
      <c r="BB83" s="292"/>
      <c r="BC83" s="292"/>
      <c r="BD83" s="292"/>
      <c r="BE83" s="31"/>
      <c r="BF83" s="292"/>
      <c r="BG83" s="292"/>
      <c r="BH83" s="292"/>
      <c r="BI83" s="292"/>
      <c r="BJ83" s="75"/>
      <c r="BK83" s="76">
        <v>39.96</v>
      </c>
      <c r="BL83" s="103" t="s">
        <v>2097</v>
      </c>
      <c r="BM83" s="103" t="s">
        <v>2098</v>
      </c>
      <c r="BN83" s="98">
        <v>11.38</v>
      </c>
      <c r="BO83" s="98">
        <v>6.95</v>
      </c>
      <c r="BP83" s="98">
        <v>2.74</v>
      </c>
      <c r="BQ83" s="291"/>
      <c r="BR83" s="291"/>
      <c r="BS83" s="77">
        <v>0.69</v>
      </c>
      <c r="BT83" s="288">
        <v>7.16</v>
      </c>
      <c r="BU83" s="288">
        <v>3.03</v>
      </c>
      <c r="BV83" s="288">
        <v>11.57</v>
      </c>
      <c r="BW83" s="286">
        <f>(BT83*BU83*BV83)/1728</f>
        <v>0.14525974305555556</v>
      </c>
      <c r="BX83" s="77">
        <v>0.1</v>
      </c>
      <c r="BY83" s="285">
        <v>18.829999999999998</v>
      </c>
      <c r="BZ83" s="285">
        <v>12.06</v>
      </c>
      <c r="CA83" s="285">
        <v>8.14</v>
      </c>
      <c r="CB83" s="286">
        <f t="shared" ref="CB83:CB84" si="24">(BY83*BZ83*CA83)/1728</f>
        <v>1.0697401458333333</v>
      </c>
      <c r="CC83" s="289">
        <v>5.34</v>
      </c>
      <c r="CD83" s="289"/>
      <c r="CE83" s="289"/>
      <c r="CF83" s="105"/>
      <c r="CG83" s="72">
        <v>6</v>
      </c>
      <c r="CH83" s="72">
        <v>7</v>
      </c>
      <c r="CI83" s="72">
        <v>5</v>
      </c>
      <c r="CJ83" s="27">
        <v>210</v>
      </c>
      <c r="CK83" s="287">
        <v>237</v>
      </c>
      <c r="CL83" s="27" t="s">
        <v>136</v>
      </c>
      <c r="CM83" s="83"/>
      <c r="CN83" s="71"/>
      <c r="CO83" s="71"/>
    </row>
    <row r="84" spans="1:93" s="1" customFormat="1" x14ac:dyDescent="0.25">
      <c r="A84" s="88">
        <v>42629</v>
      </c>
      <c r="B84" s="101" t="s">
        <v>12</v>
      </c>
      <c r="C84" s="73" t="s">
        <v>2092</v>
      </c>
      <c r="D84" s="73" t="s">
        <v>106</v>
      </c>
      <c r="E84" s="73" t="s">
        <v>101</v>
      </c>
      <c r="F84" s="90" t="s">
        <v>2093</v>
      </c>
      <c r="G84" s="90"/>
      <c r="H84" s="90"/>
      <c r="I84" s="90"/>
      <c r="J84" s="46" t="s">
        <v>125</v>
      </c>
      <c r="K84" s="41">
        <v>64119321875</v>
      </c>
      <c r="L84" s="46" t="s">
        <v>125</v>
      </c>
      <c r="M84" s="292">
        <v>64319390445</v>
      </c>
      <c r="N84" s="46" t="s">
        <v>125</v>
      </c>
      <c r="O84" s="292">
        <v>64319297750</v>
      </c>
      <c r="P84" s="26"/>
      <c r="Q84" s="26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25"/>
      <c r="AO84" s="33"/>
      <c r="AP84" s="25"/>
      <c r="AQ84" s="33"/>
      <c r="AR84" s="31"/>
      <c r="AS84" s="33"/>
      <c r="AT84" s="25"/>
      <c r="AU84" s="75"/>
      <c r="AV84" s="292"/>
      <c r="AW84" s="41"/>
      <c r="AX84" s="292"/>
      <c r="AY84" s="292"/>
      <c r="AZ84" s="292"/>
      <c r="BA84" s="292"/>
      <c r="BB84" s="292"/>
      <c r="BC84" s="292"/>
      <c r="BD84" s="292"/>
      <c r="BE84" s="31"/>
      <c r="BF84" s="292"/>
      <c r="BG84" s="292"/>
      <c r="BH84" s="292"/>
      <c r="BI84" s="292"/>
      <c r="BJ84" s="75"/>
      <c r="BK84" s="295">
        <v>37.049999999999997</v>
      </c>
      <c r="BL84" s="103" t="s">
        <v>2099</v>
      </c>
      <c r="BM84" s="103" t="s">
        <v>2100</v>
      </c>
      <c r="BN84" s="104"/>
      <c r="BO84" s="104"/>
      <c r="BP84" s="104"/>
      <c r="BQ84" s="36">
        <v>6.52</v>
      </c>
      <c r="BR84" s="36">
        <v>12.38</v>
      </c>
      <c r="BS84" s="77">
        <v>1.6</v>
      </c>
      <c r="BT84" s="288">
        <v>6.89</v>
      </c>
      <c r="BU84" s="288">
        <v>6.89</v>
      </c>
      <c r="BV84" s="286">
        <v>13.583</v>
      </c>
      <c r="BW84" s="286">
        <f>(BT84*BU84*BV84)/1728</f>
        <v>0.37315598049768517</v>
      </c>
      <c r="BX84" s="77">
        <v>0.13</v>
      </c>
      <c r="BY84" s="285">
        <v>21.707000000000001</v>
      </c>
      <c r="BZ84" s="285">
        <v>15.013999999999999</v>
      </c>
      <c r="CA84" s="285">
        <v>15.067</v>
      </c>
      <c r="CB84" s="286">
        <f t="shared" si="24"/>
        <v>2.8417068091238429</v>
      </c>
      <c r="CC84" s="289">
        <v>10.8</v>
      </c>
      <c r="CD84" s="289"/>
      <c r="CE84" s="289"/>
      <c r="CF84" s="105"/>
      <c r="CG84" s="72">
        <v>6</v>
      </c>
      <c r="CH84" s="72">
        <v>5</v>
      </c>
      <c r="CI84" s="72">
        <v>2</v>
      </c>
      <c r="CJ84" s="27">
        <v>60</v>
      </c>
      <c r="CK84" s="287">
        <v>698</v>
      </c>
      <c r="CL84" s="27" t="s">
        <v>140</v>
      </c>
      <c r="CM84" s="83"/>
      <c r="CN84" s="71"/>
      <c r="CO84" s="71"/>
    </row>
    <row r="85" spans="1:93" s="1" customFormat="1" x14ac:dyDescent="0.25">
      <c r="A85" s="88">
        <v>42629</v>
      </c>
      <c r="B85" s="101" t="s">
        <v>12</v>
      </c>
      <c r="C85" s="73" t="s">
        <v>2038</v>
      </c>
      <c r="D85" s="73" t="s">
        <v>106</v>
      </c>
      <c r="E85" s="73" t="s">
        <v>101</v>
      </c>
      <c r="F85" s="84" t="s">
        <v>2039</v>
      </c>
      <c r="G85" s="84"/>
      <c r="H85" s="84"/>
      <c r="I85" s="84"/>
      <c r="J85" s="41" t="s">
        <v>2040</v>
      </c>
      <c r="K85" s="85">
        <v>96190645</v>
      </c>
      <c r="L85" s="292"/>
      <c r="M85" s="292"/>
      <c r="N85" s="25"/>
      <c r="O85" s="26"/>
      <c r="P85" s="26"/>
      <c r="Q85" s="26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25"/>
      <c r="AO85" s="33"/>
      <c r="AP85" s="25"/>
      <c r="AQ85" s="33"/>
      <c r="AR85" s="31"/>
      <c r="AS85" s="33"/>
      <c r="AT85" s="25"/>
      <c r="AU85" s="75"/>
      <c r="AV85" s="292"/>
      <c r="AW85" s="41"/>
      <c r="AX85" s="292"/>
      <c r="AY85" s="292"/>
      <c r="AZ85" s="292"/>
      <c r="BA85" s="292"/>
      <c r="BB85" s="292"/>
      <c r="BC85" s="292"/>
      <c r="BD85" s="292"/>
      <c r="BE85" s="31"/>
      <c r="BF85" s="292" t="s">
        <v>2038</v>
      </c>
      <c r="BG85" s="292"/>
      <c r="BH85" s="292"/>
      <c r="BI85" s="292"/>
      <c r="BJ85" s="75"/>
      <c r="BK85" s="295">
        <v>17.59</v>
      </c>
      <c r="BL85" s="103" t="s">
        <v>2071</v>
      </c>
      <c r="BM85" s="103" t="s">
        <v>2072</v>
      </c>
      <c r="BN85" s="104">
        <v>8.56</v>
      </c>
      <c r="BO85" s="104">
        <v>7.68</v>
      </c>
      <c r="BP85" s="104">
        <v>0.98</v>
      </c>
      <c r="BQ85" s="36"/>
      <c r="BR85" s="36"/>
      <c r="BS85" s="77">
        <v>0.35</v>
      </c>
      <c r="BT85" s="288">
        <f>8.14+0.036</f>
        <v>8.1760000000000002</v>
      </c>
      <c r="BU85" s="288">
        <f>1.45+0.036</f>
        <v>1.486</v>
      </c>
      <c r="BV85" s="286">
        <f>9.01+0.036+0.036</f>
        <v>9.081999999999999</v>
      </c>
      <c r="BW85" s="286">
        <f t="shared" si="21"/>
        <v>6.3855373814814806E-2</v>
      </c>
      <c r="BX85" s="77">
        <v>0.12</v>
      </c>
      <c r="BY85" s="285">
        <f>10.12+0.25</f>
        <v>10.37</v>
      </c>
      <c r="BZ85" s="285">
        <v>9.5</v>
      </c>
      <c r="CA85" s="285">
        <v>10.62</v>
      </c>
      <c r="CB85" s="286">
        <f t="shared" si="22"/>
        <v>0.60545677083333316</v>
      </c>
      <c r="CC85" s="289">
        <v>0.56000000000000005</v>
      </c>
      <c r="CD85" s="289"/>
      <c r="CE85" s="289"/>
      <c r="CF85" s="105" t="s">
        <v>135</v>
      </c>
      <c r="CG85" s="72">
        <v>6</v>
      </c>
      <c r="CH85" s="72">
        <v>20</v>
      </c>
      <c r="CI85" s="72">
        <v>3</v>
      </c>
      <c r="CJ85" s="27">
        <f t="shared" si="20"/>
        <v>360</v>
      </c>
      <c r="CK85" s="287">
        <f t="shared" si="23"/>
        <v>252.79999999999998</v>
      </c>
      <c r="CL85" s="27" t="s">
        <v>140</v>
      </c>
      <c r="CM85" s="83" t="s">
        <v>141</v>
      </c>
      <c r="CN85" s="71"/>
      <c r="CO85" s="71"/>
    </row>
    <row r="86" spans="1:93" s="1" customFormat="1" x14ac:dyDescent="0.25">
      <c r="A86" s="88">
        <v>42629</v>
      </c>
      <c r="B86" s="101" t="s">
        <v>12</v>
      </c>
      <c r="C86" s="72" t="s">
        <v>2041</v>
      </c>
      <c r="D86" s="73" t="s">
        <v>106</v>
      </c>
      <c r="E86" s="73" t="s">
        <v>349</v>
      </c>
      <c r="F86" s="84" t="s">
        <v>2042</v>
      </c>
      <c r="G86" s="84"/>
      <c r="H86" s="84"/>
      <c r="I86" s="84"/>
      <c r="J86" s="41" t="s">
        <v>108</v>
      </c>
      <c r="K86" s="85">
        <v>12667194</v>
      </c>
      <c r="L86" s="292" t="s">
        <v>109</v>
      </c>
      <c r="M86" s="292" t="s">
        <v>2043</v>
      </c>
      <c r="N86" s="25" t="s">
        <v>108</v>
      </c>
      <c r="O86" s="26">
        <v>12667194</v>
      </c>
      <c r="P86" s="26" t="s">
        <v>108</v>
      </c>
      <c r="Q86" s="26">
        <v>12674698</v>
      </c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25"/>
      <c r="AO86" s="33"/>
      <c r="AP86" s="25"/>
      <c r="AQ86" s="33"/>
      <c r="AR86" s="31"/>
      <c r="AS86" s="33"/>
      <c r="AT86" s="25"/>
      <c r="AU86" s="75"/>
      <c r="AV86" s="292"/>
      <c r="AW86" s="41"/>
      <c r="AX86" s="292"/>
      <c r="AY86" s="292"/>
      <c r="AZ86" s="292"/>
      <c r="BA86" s="292"/>
      <c r="BB86" s="292"/>
      <c r="BC86" s="292"/>
      <c r="BD86" s="292"/>
      <c r="BE86" s="31"/>
      <c r="BF86" s="292"/>
      <c r="BG86" s="292" t="s">
        <v>2044</v>
      </c>
      <c r="BH86" s="292"/>
      <c r="BI86" s="292" t="s">
        <v>2044</v>
      </c>
      <c r="BJ86" s="75"/>
      <c r="BK86" s="295">
        <v>7.28</v>
      </c>
      <c r="BL86" s="103" t="s">
        <v>2073</v>
      </c>
      <c r="BM86" s="103" t="s">
        <v>2074</v>
      </c>
      <c r="BN86" s="98"/>
      <c r="BO86" s="98"/>
      <c r="BP86" s="98"/>
      <c r="BQ86" s="291">
        <v>3.02</v>
      </c>
      <c r="BR86" s="291">
        <v>3.5</v>
      </c>
      <c r="BS86" s="77">
        <v>0.71</v>
      </c>
      <c r="BT86" s="286">
        <f>3.156+0.036</f>
        <v>3.1920000000000002</v>
      </c>
      <c r="BU86" s="286">
        <f>3.156+0.036</f>
        <v>3.1920000000000002</v>
      </c>
      <c r="BV86" s="288">
        <f>4.036+0.036</f>
        <v>4.0719999999999992</v>
      </c>
      <c r="BW86" s="286">
        <f t="shared" si="21"/>
        <v>2.4009869333333329E-2</v>
      </c>
      <c r="BX86" s="77">
        <v>0.1</v>
      </c>
      <c r="BY86" s="285">
        <v>13</v>
      </c>
      <c r="BZ86" s="285">
        <f>9.562+0.25</f>
        <v>9.8119999999999994</v>
      </c>
      <c r="CA86" s="285">
        <f>4.137+0.5</f>
        <v>4.6369999999999996</v>
      </c>
      <c r="CB86" s="286">
        <f t="shared" si="22"/>
        <v>0.34229003009259251</v>
      </c>
      <c r="CC86" s="80">
        <v>0.25</v>
      </c>
      <c r="CD86" s="80"/>
      <c r="CE86" s="80"/>
      <c r="CF86" s="105" t="s">
        <v>135</v>
      </c>
      <c r="CG86" s="72">
        <v>12</v>
      </c>
      <c r="CH86" s="72">
        <v>14</v>
      </c>
      <c r="CI86" s="72">
        <v>10</v>
      </c>
      <c r="CJ86" s="27">
        <f t="shared" si="20"/>
        <v>1680</v>
      </c>
      <c r="CK86" s="287">
        <f t="shared" si="23"/>
        <v>1445.7999999999997</v>
      </c>
      <c r="CL86" s="27" t="s">
        <v>257</v>
      </c>
      <c r="CM86" s="83" t="s">
        <v>151</v>
      </c>
      <c r="CN86" s="71"/>
      <c r="CO86" s="71"/>
    </row>
    <row r="87" spans="1:93" s="1" customFormat="1" x14ac:dyDescent="0.25">
      <c r="A87" s="88">
        <v>42629</v>
      </c>
      <c r="B87" s="74" t="s">
        <v>12</v>
      </c>
      <c r="C87" s="73" t="s">
        <v>2045</v>
      </c>
      <c r="D87" s="73" t="s">
        <v>106</v>
      </c>
      <c r="E87" s="73" t="s">
        <v>101</v>
      </c>
      <c r="F87" s="84" t="s">
        <v>2046</v>
      </c>
      <c r="G87" s="84"/>
      <c r="H87" s="84"/>
      <c r="I87" s="84"/>
      <c r="J87" s="41" t="s">
        <v>2047</v>
      </c>
      <c r="K87" s="85" t="s">
        <v>2048</v>
      </c>
      <c r="L87" s="292" t="s">
        <v>279</v>
      </c>
      <c r="M87" s="292" t="s">
        <v>2049</v>
      </c>
      <c r="N87" s="25"/>
      <c r="O87" s="26"/>
      <c r="P87" s="26"/>
      <c r="Q87" s="26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25"/>
      <c r="AO87" s="33"/>
      <c r="AP87" s="25"/>
      <c r="AQ87" s="33"/>
      <c r="AR87" s="31"/>
      <c r="AS87" s="33"/>
      <c r="AT87" s="25"/>
      <c r="AU87" s="75"/>
      <c r="AV87" s="292"/>
      <c r="AW87" s="41" t="s">
        <v>2050</v>
      </c>
      <c r="AX87" s="292"/>
      <c r="AY87" s="292"/>
      <c r="AZ87" s="292"/>
      <c r="BA87" s="292" t="s">
        <v>2051</v>
      </c>
      <c r="BB87" s="292"/>
      <c r="BC87" s="292"/>
      <c r="BD87" s="292"/>
      <c r="BE87" s="31"/>
      <c r="BF87" s="292"/>
      <c r="BG87" s="292"/>
      <c r="BH87" s="292"/>
      <c r="BI87" s="292"/>
      <c r="BJ87" s="75"/>
      <c r="BK87" s="76">
        <v>20.04</v>
      </c>
      <c r="BL87" s="103" t="s">
        <v>2075</v>
      </c>
      <c r="BM87" s="103" t="s">
        <v>2076</v>
      </c>
      <c r="BN87" s="104">
        <v>10</v>
      </c>
      <c r="BO87" s="104">
        <v>9.25</v>
      </c>
      <c r="BP87" s="104">
        <v>1.1200000000000001</v>
      </c>
      <c r="BQ87" s="36"/>
      <c r="BR87" s="36"/>
      <c r="BS87" s="77">
        <v>0.21</v>
      </c>
      <c r="BT87" s="288">
        <f>10.031+0.018+0.018</f>
        <v>10.067000000000002</v>
      </c>
      <c r="BU87" s="288">
        <f>1.61+0.018+0.018</f>
        <v>1.6460000000000001</v>
      </c>
      <c r="BV87" s="286">
        <f>10.625+(0.018*4)</f>
        <v>10.696999999999999</v>
      </c>
      <c r="BW87" s="286">
        <f t="shared" si="21"/>
        <v>0.10257656629282409</v>
      </c>
      <c r="BX87" s="77">
        <v>0.15</v>
      </c>
      <c r="BY87" s="285">
        <v>12</v>
      </c>
      <c r="BZ87" s="285">
        <v>10.37</v>
      </c>
      <c r="CA87" s="285">
        <v>10.62</v>
      </c>
      <c r="CB87" s="286">
        <f t="shared" si="22"/>
        <v>0.76478749999999995</v>
      </c>
      <c r="CC87" s="289">
        <v>0.66</v>
      </c>
      <c r="CD87" s="289"/>
      <c r="CE87" s="289"/>
      <c r="CF87" s="105" t="s">
        <v>135</v>
      </c>
      <c r="CG87" s="72">
        <v>6</v>
      </c>
      <c r="CH87" s="72">
        <v>12</v>
      </c>
      <c r="CI87" s="72">
        <v>4</v>
      </c>
      <c r="CJ87" s="27">
        <f t="shared" si="20"/>
        <v>288</v>
      </c>
      <c r="CK87" s="287">
        <f t="shared" si="23"/>
        <v>185.36</v>
      </c>
      <c r="CL87" s="27" t="s">
        <v>257</v>
      </c>
      <c r="CM87" s="83" t="s">
        <v>141</v>
      </c>
      <c r="CN87" s="71"/>
      <c r="CO87" s="71"/>
    </row>
    <row r="88" spans="1:93" s="1" customFormat="1" x14ac:dyDescent="0.25">
      <c r="A88" s="88">
        <v>42629</v>
      </c>
      <c r="B88" s="74" t="s">
        <v>12</v>
      </c>
      <c r="C88" s="72" t="s">
        <v>2052</v>
      </c>
      <c r="D88" s="73" t="s">
        <v>106</v>
      </c>
      <c r="E88" s="73" t="s">
        <v>311</v>
      </c>
      <c r="F88" s="84" t="s">
        <v>2053</v>
      </c>
      <c r="G88" s="84"/>
      <c r="H88" s="84"/>
      <c r="I88" s="84"/>
      <c r="J88" s="41" t="s">
        <v>279</v>
      </c>
      <c r="K88" s="41" t="s">
        <v>2054</v>
      </c>
      <c r="L88" s="292"/>
      <c r="M88" s="292"/>
      <c r="N88" s="25"/>
      <c r="O88" s="26"/>
      <c r="P88" s="26"/>
      <c r="Q88" s="26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25"/>
      <c r="AO88" s="33"/>
      <c r="AP88" s="25">
        <v>94717</v>
      </c>
      <c r="AQ88" s="33"/>
      <c r="AR88" s="31"/>
      <c r="AS88" s="33"/>
      <c r="AT88" s="25"/>
      <c r="AU88" s="75"/>
      <c r="AV88" s="292"/>
      <c r="AW88" s="41" t="s">
        <v>2055</v>
      </c>
      <c r="AX88" s="292"/>
      <c r="AY88" s="292"/>
      <c r="AZ88" s="292"/>
      <c r="BA88" s="292" t="s">
        <v>2056</v>
      </c>
      <c r="BB88" s="292"/>
      <c r="BC88" s="292"/>
      <c r="BD88" s="292"/>
      <c r="BE88" s="31" t="s">
        <v>2057</v>
      </c>
      <c r="BF88" s="292"/>
      <c r="BG88" s="292" t="s">
        <v>2058</v>
      </c>
      <c r="BH88" s="292"/>
      <c r="BI88" s="292" t="s">
        <v>2058</v>
      </c>
      <c r="BJ88" s="75" t="s">
        <v>2059</v>
      </c>
      <c r="BK88" s="76">
        <v>8.07</v>
      </c>
      <c r="BL88" s="103" t="s">
        <v>2077</v>
      </c>
      <c r="BM88" s="103" t="s">
        <v>2078</v>
      </c>
      <c r="BN88" s="98"/>
      <c r="BO88" s="98"/>
      <c r="BP88" s="98"/>
      <c r="BQ88" s="291">
        <v>2.56</v>
      </c>
      <c r="BR88" s="291">
        <v>4.0350000000000001</v>
      </c>
      <c r="BS88" s="77">
        <v>0.13</v>
      </c>
      <c r="BT88" s="288">
        <f>2.68+0.018+0.018</f>
        <v>2.7159999999999997</v>
      </c>
      <c r="BU88" s="288">
        <f>2.68+0.018+0.018</f>
        <v>2.7159999999999997</v>
      </c>
      <c r="BV88" s="288">
        <f>4.25+(0.018*4)</f>
        <v>4.3220000000000001</v>
      </c>
      <c r="BW88" s="286">
        <f t="shared" si="21"/>
        <v>1.8450177796296291E-2</v>
      </c>
      <c r="BX88" s="77">
        <v>0.08</v>
      </c>
      <c r="BY88" s="285">
        <f>8.43+0.25</f>
        <v>8.68</v>
      </c>
      <c r="BZ88" s="285">
        <v>6</v>
      </c>
      <c r="CA88" s="285">
        <f>4.65+0.5</f>
        <v>5.15</v>
      </c>
      <c r="CB88" s="286">
        <f t="shared" si="22"/>
        <v>0.15521527777777777</v>
      </c>
      <c r="CC88" s="80">
        <v>0.2</v>
      </c>
      <c r="CD88" s="80"/>
      <c r="CE88" s="80"/>
      <c r="CF88" s="105" t="s">
        <v>135</v>
      </c>
      <c r="CG88" s="72">
        <v>6</v>
      </c>
      <c r="CH88" s="72">
        <v>33</v>
      </c>
      <c r="CI88" s="72">
        <v>8</v>
      </c>
      <c r="CJ88" s="27">
        <f t="shared" si="20"/>
        <v>1584</v>
      </c>
      <c r="CK88" s="287">
        <f t="shared" si="23"/>
        <v>435.44000000000005</v>
      </c>
      <c r="CL88" s="27" t="s">
        <v>322</v>
      </c>
      <c r="CM88" s="83" t="s">
        <v>151</v>
      </c>
      <c r="CN88" s="71"/>
      <c r="CO88" s="71"/>
    </row>
    <row r="89" spans="1:93" s="1" customFormat="1" ht="30" x14ac:dyDescent="0.25">
      <c r="A89" s="88">
        <v>42534</v>
      </c>
      <c r="B89" s="101" t="s">
        <v>12</v>
      </c>
      <c r="C89" s="101" t="s">
        <v>88</v>
      </c>
      <c r="D89" s="101" t="s">
        <v>89</v>
      </c>
      <c r="E89" s="102" t="s">
        <v>72</v>
      </c>
      <c r="F89" s="84" t="s">
        <v>90</v>
      </c>
      <c r="G89" s="84"/>
      <c r="H89" s="84"/>
      <c r="I89" s="84"/>
      <c r="J89" s="41" t="s">
        <v>91</v>
      </c>
      <c r="K89" s="85" t="s">
        <v>92</v>
      </c>
      <c r="L89" s="260"/>
      <c r="M89" s="260"/>
      <c r="N89" s="25"/>
      <c r="O89" s="26"/>
      <c r="P89" s="26"/>
      <c r="Q89" s="26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25"/>
      <c r="AO89" s="33"/>
      <c r="AP89" s="25"/>
      <c r="AQ89" s="33"/>
      <c r="AR89" s="31"/>
      <c r="AS89" s="33"/>
      <c r="AT89" s="25"/>
      <c r="AU89" s="75"/>
      <c r="AV89" s="260"/>
      <c r="AW89" s="41"/>
      <c r="AX89" s="260" t="s">
        <v>93</v>
      </c>
      <c r="AY89" s="260"/>
      <c r="AZ89" s="260"/>
      <c r="BA89" s="260"/>
      <c r="BB89" s="260"/>
      <c r="BC89" s="260" t="s">
        <v>94</v>
      </c>
      <c r="BD89" s="260"/>
      <c r="BE89" s="31" t="s">
        <v>95</v>
      </c>
      <c r="BF89" s="260" t="s">
        <v>96</v>
      </c>
      <c r="BG89" s="260" t="s">
        <v>97</v>
      </c>
      <c r="BH89" s="260"/>
      <c r="BI89" s="260" t="s">
        <v>98</v>
      </c>
      <c r="BJ89" s="75" t="s">
        <v>99</v>
      </c>
      <c r="BK89" s="76">
        <v>13.07</v>
      </c>
      <c r="BL89" s="274" t="s">
        <v>133</v>
      </c>
      <c r="BM89" s="274" t="s">
        <v>134</v>
      </c>
      <c r="BN89" s="275">
        <v>9.2100000000000009</v>
      </c>
      <c r="BO89" s="275">
        <v>8.0299999999999994</v>
      </c>
      <c r="BP89" s="275">
        <v>1.73</v>
      </c>
      <c r="BQ89" s="276"/>
      <c r="BR89" s="276"/>
      <c r="BS89" s="277">
        <v>0.3</v>
      </c>
      <c r="BT89" s="278">
        <v>8.5359999999999996</v>
      </c>
      <c r="BU89" s="278">
        <v>2.4060000000000001</v>
      </c>
      <c r="BV89" s="279">
        <v>10.691999999999998</v>
      </c>
      <c r="BW89" s="279">
        <v>0.12707649899999998</v>
      </c>
      <c r="BX89" s="277">
        <v>0.2</v>
      </c>
      <c r="BY89" s="280">
        <v>12.25</v>
      </c>
      <c r="BZ89" s="280">
        <v>10.25</v>
      </c>
      <c r="CA89" s="280">
        <v>8.25</v>
      </c>
      <c r="CB89" s="279">
        <v>0.59947374131944442</v>
      </c>
      <c r="CC89" s="281">
        <v>0.59</v>
      </c>
      <c r="CD89" s="281"/>
      <c r="CE89" s="281"/>
      <c r="CF89" s="249" t="s">
        <v>135</v>
      </c>
      <c r="CG89" s="75">
        <v>3</v>
      </c>
      <c r="CH89" s="75">
        <v>12</v>
      </c>
      <c r="CI89" s="75">
        <v>5</v>
      </c>
      <c r="CJ89" s="154">
        <v>180</v>
      </c>
      <c r="CK89" s="282">
        <v>175.39999999999998</v>
      </c>
      <c r="CL89" s="154" t="s">
        <v>136</v>
      </c>
      <c r="CM89" s="89" t="s">
        <v>137</v>
      </c>
      <c r="CN89" s="71"/>
      <c r="CO89" s="71"/>
    </row>
    <row r="90" spans="1:93" s="1" customFormat="1" x14ac:dyDescent="0.25">
      <c r="A90" s="88">
        <v>42534</v>
      </c>
      <c r="B90" s="101" t="s">
        <v>12</v>
      </c>
      <c r="C90" s="101" t="s">
        <v>100</v>
      </c>
      <c r="D90" s="101" t="s">
        <v>89</v>
      </c>
      <c r="E90" s="101" t="s">
        <v>101</v>
      </c>
      <c r="F90" s="84" t="s">
        <v>102</v>
      </c>
      <c r="G90" s="84"/>
      <c r="H90" s="84"/>
      <c r="I90" s="84"/>
      <c r="J90" s="75" t="s">
        <v>103</v>
      </c>
      <c r="K90" s="31" t="s">
        <v>104</v>
      </c>
      <c r="L90" s="260"/>
      <c r="M90" s="260"/>
      <c r="N90" s="25"/>
      <c r="O90" s="26"/>
      <c r="P90" s="26"/>
      <c r="Q90" s="26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25"/>
      <c r="AO90" s="33"/>
      <c r="AP90" s="25"/>
      <c r="AQ90" s="33"/>
      <c r="AR90" s="31"/>
      <c r="AS90" s="33"/>
      <c r="AT90" s="25"/>
      <c r="AU90" s="75"/>
      <c r="AV90" s="75"/>
      <c r="AW90" s="41"/>
      <c r="AX90" s="260"/>
      <c r="AY90" s="260"/>
      <c r="AZ90" s="260"/>
      <c r="BA90" s="260"/>
      <c r="BB90" s="260"/>
      <c r="BC90" s="260"/>
      <c r="BD90" s="260"/>
      <c r="BE90" s="75"/>
      <c r="BF90" s="260"/>
      <c r="BG90" s="260"/>
      <c r="BH90" s="260"/>
      <c r="BI90" s="260"/>
      <c r="BJ90" s="75">
        <v>49525</v>
      </c>
      <c r="BK90" s="76">
        <v>20.85</v>
      </c>
      <c r="BL90" s="274" t="s">
        <v>138</v>
      </c>
      <c r="BM90" s="274" t="s">
        <v>139</v>
      </c>
      <c r="BN90" s="275">
        <v>9.02</v>
      </c>
      <c r="BO90" s="275">
        <v>7.87</v>
      </c>
      <c r="BP90" s="275">
        <v>1.18</v>
      </c>
      <c r="BQ90" s="276"/>
      <c r="BR90" s="276"/>
      <c r="BS90" s="277">
        <v>0.13</v>
      </c>
      <c r="BT90" s="279">
        <v>8.9659999999999993</v>
      </c>
      <c r="BU90" s="279">
        <v>1.3460000000000001</v>
      </c>
      <c r="BV90" s="279">
        <v>9.8219999999999992</v>
      </c>
      <c r="BW90" s="279">
        <v>6.8596188652777779E-2</v>
      </c>
      <c r="BX90" s="277">
        <v>0.12</v>
      </c>
      <c r="BY90" s="280">
        <v>10.5</v>
      </c>
      <c r="BZ90" s="280">
        <v>8.75</v>
      </c>
      <c r="CA90" s="280">
        <v>9.75</v>
      </c>
      <c r="CB90" s="279">
        <v>0.51839192708333337</v>
      </c>
      <c r="CC90" s="281">
        <v>0.28000000000000003</v>
      </c>
      <c r="CD90" s="281"/>
      <c r="CE90" s="281"/>
      <c r="CF90" s="249" t="s">
        <v>135</v>
      </c>
      <c r="CG90" s="75">
        <v>6</v>
      </c>
      <c r="CH90" s="75">
        <v>18</v>
      </c>
      <c r="CI90" s="75">
        <v>4</v>
      </c>
      <c r="CJ90" s="154">
        <v>432</v>
      </c>
      <c r="CK90" s="282">
        <v>178.16</v>
      </c>
      <c r="CL90" s="154" t="s">
        <v>140</v>
      </c>
      <c r="CM90" s="89" t="s">
        <v>141</v>
      </c>
      <c r="CN90" s="71"/>
      <c r="CO90" s="71"/>
    </row>
    <row r="91" spans="1:93" s="1" customFormat="1" ht="30" x14ac:dyDescent="0.25">
      <c r="A91" s="88">
        <v>42534</v>
      </c>
      <c r="B91" s="101" t="s">
        <v>12</v>
      </c>
      <c r="C91" s="101" t="s">
        <v>105</v>
      </c>
      <c r="D91" s="101" t="s">
        <v>106</v>
      </c>
      <c r="E91" s="101" t="s">
        <v>101</v>
      </c>
      <c r="F91" s="46" t="s">
        <v>107</v>
      </c>
      <c r="G91" s="46"/>
      <c r="H91" s="46"/>
      <c r="I91" s="46"/>
      <c r="J91" s="46" t="s">
        <v>108</v>
      </c>
      <c r="K91" s="41">
        <v>13503677</v>
      </c>
      <c r="L91" s="260" t="s">
        <v>109</v>
      </c>
      <c r="M91" s="260" t="s">
        <v>110</v>
      </c>
      <c r="N91" s="25"/>
      <c r="O91" s="26"/>
      <c r="P91" s="26"/>
      <c r="Q91" s="26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25"/>
      <c r="AO91" s="33"/>
      <c r="AP91" s="25"/>
      <c r="AQ91" s="33"/>
      <c r="AR91" s="31"/>
      <c r="AS91" s="33"/>
      <c r="AT91" s="25"/>
      <c r="AU91" s="75" t="s">
        <v>111</v>
      </c>
      <c r="AV91" s="260"/>
      <c r="AW91" s="41"/>
      <c r="AX91" s="260"/>
      <c r="AY91" s="260"/>
      <c r="AZ91" s="260"/>
      <c r="BA91" s="260"/>
      <c r="BB91" s="260"/>
      <c r="BC91" s="75"/>
      <c r="BD91" s="260"/>
      <c r="BE91" s="75" t="s">
        <v>112</v>
      </c>
      <c r="BF91" s="260" t="s">
        <v>113</v>
      </c>
      <c r="BG91" s="260" t="s">
        <v>114</v>
      </c>
      <c r="BH91" s="260" t="s">
        <v>115</v>
      </c>
      <c r="BI91" s="260" t="s">
        <v>116</v>
      </c>
      <c r="BJ91" s="75">
        <v>24191</v>
      </c>
      <c r="BK91" s="76">
        <v>20.88</v>
      </c>
      <c r="BL91" s="274" t="s">
        <v>142</v>
      </c>
      <c r="BM91" s="274" t="s">
        <v>143</v>
      </c>
      <c r="BN91" s="275">
        <v>9.4499999999999993</v>
      </c>
      <c r="BO91" s="275">
        <v>8.0299999999999994</v>
      </c>
      <c r="BP91" s="275">
        <v>1.38</v>
      </c>
      <c r="BQ91" s="276"/>
      <c r="BR91" s="276"/>
      <c r="BS91" s="277">
        <v>0.25</v>
      </c>
      <c r="BT91" s="278">
        <v>9.2859999999999996</v>
      </c>
      <c r="BU91" s="278">
        <v>1.8160000000000001</v>
      </c>
      <c r="BV91" s="279">
        <v>9.7319999999999993</v>
      </c>
      <c r="BW91" s="279">
        <v>9.4973596777777766E-2</v>
      </c>
      <c r="BX91" s="277">
        <v>0.12</v>
      </c>
      <c r="BY91" s="280">
        <v>10.5</v>
      </c>
      <c r="BZ91" s="280">
        <v>10</v>
      </c>
      <c r="CA91" s="280">
        <v>6.25</v>
      </c>
      <c r="CB91" s="279">
        <v>0.37977430555555558</v>
      </c>
      <c r="CC91" s="281">
        <v>0.42</v>
      </c>
      <c r="CD91" s="281"/>
      <c r="CE91" s="281"/>
      <c r="CF91" s="249" t="s">
        <v>135</v>
      </c>
      <c r="CG91" s="75">
        <v>3</v>
      </c>
      <c r="CH91" s="75">
        <v>16</v>
      </c>
      <c r="CI91" s="75">
        <v>7</v>
      </c>
      <c r="CJ91" s="154">
        <v>336</v>
      </c>
      <c r="CK91" s="282">
        <v>221.35999999999999</v>
      </c>
      <c r="CL91" s="154" t="s">
        <v>140</v>
      </c>
      <c r="CM91" s="89" t="s">
        <v>141</v>
      </c>
      <c r="CN91" s="71"/>
      <c r="CO91" s="71"/>
    </row>
    <row r="92" spans="1:93" s="1" customFormat="1" x14ac:dyDescent="0.25">
      <c r="A92" s="88">
        <v>42534</v>
      </c>
      <c r="B92" s="101" t="s">
        <v>12</v>
      </c>
      <c r="C92" s="101" t="s">
        <v>117</v>
      </c>
      <c r="D92" s="101" t="s">
        <v>106</v>
      </c>
      <c r="E92" s="101" t="s">
        <v>101</v>
      </c>
      <c r="F92" s="46" t="s">
        <v>118</v>
      </c>
      <c r="G92" s="46"/>
      <c r="H92" s="46"/>
      <c r="I92" s="46"/>
      <c r="J92" s="46" t="s">
        <v>108</v>
      </c>
      <c r="K92" s="41">
        <v>22743911</v>
      </c>
      <c r="L92" s="260" t="s">
        <v>109</v>
      </c>
      <c r="M92" s="260" t="s">
        <v>119</v>
      </c>
      <c r="N92" s="25"/>
      <c r="O92" s="26"/>
      <c r="P92" s="26"/>
      <c r="Q92" s="26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25" t="s">
        <v>120</v>
      </c>
      <c r="AO92" s="33"/>
      <c r="AP92" s="25"/>
      <c r="AQ92" s="33"/>
      <c r="AR92" s="31"/>
      <c r="AS92" s="33"/>
      <c r="AT92" s="25"/>
      <c r="AU92" s="75"/>
      <c r="AV92" s="24"/>
      <c r="AW92" s="41"/>
      <c r="AX92" s="260"/>
      <c r="AY92" s="260"/>
      <c r="AZ92" s="260"/>
      <c r="BA92" s="260"/>
      <c r="BB92" s="260"/>
      <c r="BC92" s="260"/>
      <c r="BD92" s="260"/>
      <c r="BE92" s="24"/>
      <c r="BF92" s="260" t="s">
        <v>117</v>
      </c>
      <c r="BG92" s="260"/>
      <c r="BH92" s="260"/>
      <c r="BI92" s="260" t="s">
        <v>121</v>
      </c>
      <c r="BJ92" s="75" t="s">
        <v>122</v>
      </c>
      <c r="BK92" s="76">
        <v>21.42</v>
      </c>
      <c r="BL92" s="274" t="s">
        <v>144</v>
      </c>
      <c r="BM92" s="274" t="s">
        <v>145</v>
      </c>
      <c r="BN92" s="275">
        <v>9.4499999999999993</v>
      </c>
      <c r="BO92" s="275">
        <v>7.99</v>
      </c>
      <c r="BP92" s="275">
        <v>1.18</v>
      </c>
      <c r="BQ92" s="276"/>
      <c r="BR92" s="276"/>
      <c r="BS92" s="277">
        <v>0.25</v>
      </c>
      <c r="BT92" s="278">
        <v>8.9659999999999993</v>
      </c>
      <c r="BU92" s="278">
        <v>1.3460000000000001</v>
      </c>
      <c r="BV92" s="279">
        <v>9.8219999999999992</v>
      </c>
      <c r="BW92" s="279">
        <v>6.8596188652777779E-2</v>
      </c>
      <c r="BX92" s="277">
        <v>0.12</v>
      </c>
      <c r="BY92" s="280">
        <v>10.5</v>
      </c>
      <c r="BZ92" s="280">
        <v>8.75</v>
      </c>
      <c r="CA92" s="280">
        <v>9.75</v>
      </c>
      <c r="CB92" s="279">
        <v>0.51839192708333337</v>
      </c>
      <c r="CC92" s="281">
        <v>0.28000000000000003</v>
      </c>
      <c r="CD92" s="281"/>
      <c r="CE92" s="281"/>
      <c r="CF92" s="249" t="s">
        <v>135</v>
      </c>
      <c r="CG92" s="75">
        <v>6</v>
      </c>
      <c r="CH92" s="75">
        <v>18</v>
      </c>
      <c r="CI92" s="75">
        <v>4</v>
      </c>
      <c r="CJ92" s="154">
        <v>432</v>
      </c>
      <c r="CK92" s="282">
        <v>230</v>
      </c>
      <c r="CL92" s="154" t="s">
        <v>140</v>
      </c>
      <c r="CM92" s="89" t="s">
        <v>141</v>
      </c>
      <c r="CN92" s="71"/>
      <c r="CO92" s="71"/>
    </row>
    <row r="93" spans="1:93" s="1" customFormat="1" x14ac:dyDescent="0.25">
      <c r="A93" s="88">
        <v>42534</v>
      </c>
      <c r="B93" s="101" t="s">
        <v>12</v>
      </c>
      <c r="C93" s="101" t="s">
        <v>123</v>
      </c>
      <c r="D93" s="101" t="s">
        <v>106</v>
      </c>
      <c r="E93" s="101" t="s">
        <v>101</v>
      </c>
      <c r="F93" s="84" t="s">
        <v>124</v>
      </c>
      <c r="G93" s="84"/>
      <c r="H93" s="84"/>
      <c r="I93" s="84"/>
      <c r="J93" s="41" t="s">
        <v>125</v>
      </c>
      <c r="K93" s="85">
        <v>64119237555</v>
      </c>
      <c r="L93" s="260"/>
      <c r="M93" s="260"/>
      <c r="N93" s="25"/>
      <c r="O93" s="26"/>
      <c r="P93" s="26"/>
      <c r="Q93" s="26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25"/>
      <c r="AO93" s="33"/>
      <c r="AP93" s="25" t="s">
        <v>126</v>
      </c>
      <c r="AQ93" s="33"/>
      <c r="AR93" s="31"/>
      <c r="AS93" s="33"/>
      <c r="AT93" s="25"/>
      <c r="AU93" s="75"/>
      <c r="AV93" s="260"/>
      <c r="AW93" s="41"/>
      <c r="AX93" s="260"/>
      <c r="AY93" s="260" t="s">
        <v>87</v>
      </c>
      <c r="AZ93" s="260"/>
      <c r="BA93" s="260" t="s">
        <v>127</v>
      </c>
      <c r="BB93" s="260"/>
      <c r="BC93" s="260"/>
      <c r="BD93" s="260">
        <v>4255</v>
      </c>
      <c r="BE93" s="31"/>
      <c r="BF93" s="260"/>
      <c r="BG93" s="260"/>
      <c r="BH93" s="260"/>
      <c r="BI93" s="260"/>
      <c r="BJ93" s="75">
        <v>24255</v>
      </c>
      <c r="BK93" s="76">
        <v>39.42</v>
      </c>
      <c r="BL93" s="274" t="s">
        <v>146</v>
      </c>
      <c r="BM93" s="274" t="s">
        <v>147</v>
      </c>
      <c r="BN93" s="275">
        <v>9.69</v>
      </c>
      <c r="BO93" s="275">
        <v>7.8</v>
      </c>
      <c r="BP93" s="275">
        <v>1.61</v>
      </c>
      <c r="BQ93" s="276"/>
      <c r="BR93" s="276"/>
      <c r="BS93" s="277">
        <v>0.3</v>
      </c>
      <c r="BT93" s="278">
        <v>8.5359999999999996</v>
      </c>
      <c r="BU93" s="278">
        <v>2.4060000000000001</v>
      </c>
      <c r="BV93" s="279">
        <v>10.691999999999998</v>
      </c>
      <c r="BW93" s="279">
        <v>0.12707649899999998</v>
      </c>
      <c r="BX93" s="277">
        <v>0.2</v>
      </c>
      <c r="BY93" s="280">
        <v>15</v>
      </c>
      <c r="BZ93" s="280">
        <v>11.25</v>
      </c>
      <c r="CA93" s="280">
        <v>9.3800000000000008</v>
      </c>
      <c r="CB93" s="279">
        <v>0.916015625</v>
      </c>
      <c r="CC93" s="281">
        <v>0.78</v>
      </c>
      <c r="CD93" s="281"/>
      <c r="CE93" s="281"/>
      <c r="CF93" s="249" t="s">
        <v>135</v>
      </c>
      <c r="CG93" s="75">
        <v>6</v>
      </c>
      <c r="CH93" s="75">
        <v>10</v>
      </c>
      <c r="CI93" s="75">
        <v>4</v>
      </c>
      <c r="CJ93" s="154">
        <v>240</v>
      </c>
      <c r="CK93" s="282">
        <v>201.20000000000002</v>
      </c>
      <c r="CL93" s="154" t="s">
        <v>140</v>
      </c>
      <c r="CM93" s="89" t="s">
        <v>141</v>
      </c>
      <c r="CN93" s="71"/>
      <c r="CO93" s="71"/>
    </row>
    <row r="94" spans="1:93" s="1" customFormat="1" x14ac:dyDescent="0.25">
      <c r="A94" s="88">
        <v>42534</v>
      </c>
      <c r="B94" s="101" t="s">
        <v>12</v>
      </c>
      <c r="C94" s="101" t="s">
        <v>128</v>
      </c>
      <c r="D94" s="101" t="s">
        <v>106</v>
      </c>
      <c r="E94" s="101" t="s">
        <v>85</v>
      </c>
      <c r="F94" s="84" t="s">
        <v>129</v>
      </c>
      <c r="G94" s="84"/>
      <c r="H94" s="84"/>
      <c r="I94" s="84"/>
      <c r="J94" s="46" t="s">
        <v>130</v>
      </c>
      <c r="K94" s="41">
        <v>2781800009</v>
      </c>
      <c r="L94" s="260"/>
      <c r="M94" s="260"/>
      <c r="N94" s="25"/>
      <c r="O94" s="26"/>
      <c r="P94" s="26"/>
      <c r="Q94" s="26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25"/>
      <c r="AO94" s="33"/>
      <c r="AP94" s="25"/>
      <c r="AQ94" s="33"/>
      <c r="AR94" s="31"/>
      <c r="AS94" s="33"/>
      <c r="AT94" s="25"/>
      <c r="AU94" s="75"/>
      <c r="AV94" s="260"/>
      <c r="AW94" s="41"/>
      <c r="AX94" s="260"/>
      <c r="AY94" s="260"/>
      <c r="AZ94" s="260"/>
      <c r="BA94" s="260"/>
      <c r="BB94" s="260"/>
      <c r="BC94" s="260"/>
      <c r="BD94" s="260"/>
      <c r="BE94" s="31"/>
      <c r="BF94" s="260" t="s">
        <v>131</v>
      </c>
      <c r="BG94" s="260" t="s">
        <v>132</v>
      </c>
      <c r="BH94" s="260"/>
      <c r="BI94" s="260" t="s">
        <v>132</v>
      </c>
      <c r="BJ94" s="75"/>
      <c r="BK94" s="76">
        <v>16.829999999999998</v>
      </c>
      <c r="BL94" s="274" t="s">
        <v>148</v>
      </c>
      <c r="BM94" s="274" t="s">
        <v>149</v>
      </c>
      <c r="BN94" s="283"/>
      <c r="BO94" s="283"/>
      <c r="BP94" s="283"/>
      <c r="BQ94" s="165">
        <v>2.2639999999999998</v>
      </c>
      <c r="BR94" s="165">
        <v>5.7869999999999999</v>
      </c>
      <c r="BS94" s="277">
        <v>0.08</v>
      </c>
      <c r="BT94" s="279">
        <v>2.5950000000000002</v>
      </c>
      <c r="BU94" s="279">
        <v>2.5950000000000002</v>
      </c>
      <c r="BV94" s="279">
        <v>6.0949999999999998</v>
      </c>
      <c r="BW94" s="279">
        <v>2.3752246744791667E-2</v>
      </c>
      <c r="BX94" s="277">
        <v>0.05</v>
      </c>
      <c r="BY94" s="280">
        <v>10.879</v>
      </c>
      <c r="BZ94" s="280">
        <v>8.5169999999999995</v>
      </c>
      <c r="CA94" s="280">
        <v>6.7990000000000004</v>
      </c>
      <c r="CB94" s="279">
        <v>0.36456664117881943</v>
      </c>
      <c r="CC94" s="284">
        <v>0.15</v>
      </c>
      <c r="CD94" s="284"/>
      <c r="CE94" s="284"/>
      <c r="CF94" s="249" t="s">
        <v>135</v>
      </c>
      <c r="CG94" s="75">
        <v>12</v>
      </c>
      <c r="CH94" s="75">
        <v>19</v>
      </c>
      <c r="CI94" s="75">
        <v>7</v>
      </c>
      <c r="CJ94" s="154">
        <v>1596</v>
      </c>
      <c r="CK94" s="282">
        <v>277.43</v>
      </c>
      <c r="CL94" s="154" t="s">
        <v>150</v>
      </c>
      <c r="CM94" s="89" t="s">
        <v>151</v>
      </c>
      <c r="CN94" s="71"/>
      <c r="CO94" s="71"/>
    </row>
    <row r="95" spans="1:93" ht="30" x14ac:dyDescent="0.25">
      <c r="A95" s="88">
        <v>42482</v>
      </c>
      <c r="B95" s="73" t="s">
        <v>12</v>
      </c>
      <c r="C95" s="73" t="s">
        <v>154</v>
      </c>
      <c r="D95" s="73" t="s">
        <v>54</v>
      </c>
      <c r="E95" s="16" t="s">
        <v>85</v>
      </c>
      <c r="F95" s="84" t="s">
        <v>155</v>
      </c>
      <c r="G95" s="84"/>
      <c r="H95" s="84"/>
      <c r="I95" s="84"/>
      <c r="J95" s="41" t="s">
        <v>156</v>
      </c>
      <c r="K95" s="85">
        <v>47135704</v>
      </c>
      <c r="L95" s="95" t="s">
        <v>157</v>
      </c>
      <c r="M95" s="95">
        <v>47135703</v>
      </c>
      <c r="N95" s="25"/>
      <c r="O95" s="26"/>
      <c r="P95" s="26"/>
      <c r="Q95" s="26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25" t="s">
        <v>158</v>
      </c>
      <c r="AO95" s="33"/>
      <c r="AP95" s="25"/>
      <c r="AQ95" s="33"/>
      <c r="AR95" s="31" t="s">
        <v>159</v>
      </c>
      <c r="AS95" s="33"/>
      <c r="AT95" s="25" t="s">
        <v>160</v>
      </c>
      <c r="AU95" s="75" t="s">
        <v>161</v>
      </c>
      <c r="AV95" s="95"/>
      <c r="AW95" s="41"/>
      <c r="AX95" s="95"/>
      <c r="AY95" s="95"/>
      <c r="AZ95" s="95"/>
      <c r="BA95" s="95"/>
      <c r="BB95" s="95"/>
      <c r="BC95" s="95"/>
      <c r="BD95" s="95"/>
      <c r="BE95" s="31"/>
      <c r="BF95" s="95"/>
      <c r="BG95" s="95"/>
      <c r="BH95" s="95"/>
      <c r="BI95" s="95"/>
      <c r="BJ95" s="75">
        <v>57075</v>
      </c>
      <c r="BK95" s="76">
        <v>20.76</v>
      </c>
      <c r="BL95" s="82" t="s">
        <v>162</v>
      </c>
      <c r="BM95" s="82" t="s">
        <v>163</v>
      </c>
      <c r="BN95" s="36"/>
      <c r="BO95" s="36"/>
      <c r="BP95" s="36"/>
      <c r="BQ95" s="93">
        <v>4.2125984251968509</v>
      </c>
      <c r="BR95" s="93">
        <v>4.1535433070866148</v>
      </c>
      <c r="BS95" s="96"/>
      <c r="BT95" s="47">
        <v>4.4659999999999993</v>
      </c>
      <c r="BU95" s="47">
        <v>4.4659999999999993</v>
      </c>
      <c r="BV95" s="47">
        <v>4.8220000000000001</v>
      </c>
      <c r="BW95" s="47">
        <v>5.5657142495370356E-2</v>
      </c>
      <c r="BX95" s="47">
        <v>1.3180000000000001</v>
      </c>
      <c r="BY95" s="47">
        <v>14</v>
      </c>
      <c r="BZ95" s="47">
        <v>9.5</v>
      </c>
      <c r="CA95" s="47">
        <v>5.37</v>
      </c>
      <c r="CB95" s="47">
        <v>0.41331597222222222</v>
      </c>
      <c r="CC95" s="47">
        <v>7.9080000000000004</v>
      </c>
      <c r="CD95" s="47"/>
      <c r="CE95" s="47"/>
      <c r="CF95" s="43" t="s">
        <v>164</v>
      </c>
      <c r="CG95" s="74">
        <v>6</v>
      </c>
      <c r="CH95" s="74">
        <v>13</v>
      </c>
      <c r="CI95" s="74">
        <v>8</v>
      </c>
      <c r="CJ95" s="27">
        <v>624</v>
      </c>
      <c r="CK95" s="27">
        <v>872.43200000000002</v>
      </c>
      <c r="CL95" s="74" t="s">
        <v>165</v>
      </c>
      <c r="CM95" s="83" t="s">
        <v>166</v>
      </c>
      <c r="CN95" s="8"/>
      <c r="CO95" s="8"/>
    </row>
    <row r="96" spans="1:93" x14ac:dyDescent="0.25">
      <c r="A96" s="88">
        <v>42482</v>
      </c>
      <c r="B96" s="73" t="s">
        <v>12</v>
      </c>
      <c r="C96" s="73" t="s">
        <v>167</v>
      </c>
      <c r="D96" s="73" t="s">
        <v>54</v>
      </c>
      <c r="E96" s="73" t="s">
        <v>59</v>
      </c>
      <c r="F96" s="84" t="s">
        <v>168</v>
      </c>
      <c r="G96" s="84"/>
      <c r="H96" s="84"/>
      <c r="I96" s="84"/>
      <c r="J96" s="75" t="s">
        <v>169</v>
      </c>
      <c r="K96" s="31" t="s">
        <v>170</v>
      </c>
      <c r="L96" s="95"/>
      <c r="M96" s="95"/>
      <c r="N96" s="25"/>
      <c r="O96" s="26"/>
      <c r="P96" s="26"/>
      <c r="Q96" s="26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25" t="s">
        <v>171</v>
      </c>
      <c r="AO96" s="33"/>
      <c r="AP96" s="25"/>
      <c r="AQ96" s="33"/>
      <c r="AR96" s="31" t="s">
        <v>172</v>
      </c>
      <c r="AS96" s="33"/>
      <c r="AT96" s="25"/>
      <c r="AU96" s="75"/>
      <c r="AV96" s="75"/>
      <c r="AW96" s="41"/>
      <c r="AX96" s="95"/>
      <c r="AY96" s="95"/>
      <c r="AZ96" s="95"/>
      <c r="BA96" s="95"/>
      <c r="BB96" s="95"/>
      <c r="BC96" s="95"/>
      <c r="BD96" s="95"/>
      <c r="BE96" s="75"/>
      <c r="BF96" s="95"/>
      <c r="BG96" s="95"/>
      <c r="BH96" s="95"/>
      <c r="BI96" s="95"/>
      <c r="BJ96" s="75"/>
      <c r="BK96" s="76">
        <v>12.53</v>
      </c>
      <c r="BL96" s="97" t="s">
        <v>173</v>
      </c>
      <c r="BM96" s="82" t="s">
        <v>174</v>
      </c>
      <c r="BN96" s="98"/>
      <c r="BO96" s="98"/>
      <c r="BP96" s="98"/>
      <c r="BQ96" s="93">
        <v>2.9921259842519685</v>
      </c>
      <c r="BR96" s="93">
        <v>2.1653543307086616</v>
      </c>
      <c r="BS96" s="77">
        <v>0.62992125984251968</v>
      </c>
      <c r="BT96" s="99"/>
      <c r="BU96" s="99"/>
      <c r="BV96" s="99"/>
      <c r="BW96" s="38"/>
      <c r="BX96" s="78">
        <v>0.42499999999999999</v>
      </c>
      <c r="BY96" s="94">
        <v>10</v>
      </c>
      <c r="BZ96" s="94">
        <v>6.75</v>
      </c>
      <c r="CA96" s="94">
        <v>3.75</v>
      </c>
      <c r="CB96" s="47">
        <v>0.146484375</v>
      </c>
      <c r="CC96" s="47">
        <v>2.5499999999999998</v>
      </c>
      <c r="CD96" s="47"/>
      <c r="CE96" s="47"/>
      <c r="CF96" s="43" t="s">
        <v>164</v>
      </c>
      <c r="CG96" s="72">
        <v>6</v>
      </c>
      <c r="CH96" s="72">
        <v>26</v>
      </c>
      <c r="CI96" s="72">
        <v>10</v>
      </c>
      <c r="CJ96" s="27">
        <v>1560</v>
      </c>
      <c r="CK96" s="27">
        <v>713</v>
      </c>
      <c r="CL96" s="72" t="s">
        <v>165</v>
      </c>
      <c r="CM96" s="79" t="s">
        <v>166</v>
      </c>
      <c r="CN96" s="8"/>
      <c r="CO96" s="8"/>
    </row>
    <row r="97" spans="1:93" x14ac:dyDescent="0.25">
      <c r="A97" s="88">
        <v>42482</v>
      </c>
      <c r="B97" s="72" t="s">
        <v>12</v>
      </c>
      <c r="C97" s="72" t="s">
        <v>175</v>
      </c>
      <c r="D97" s="73" t="s">
        <v>54</v>
      </c>
      <c r="E97" s="73" t="s">
        <v>59</v>
      </c>
      <c r="F97" s="46" t="s">
        <v>176</v>
      </c>
      <c r="G97" s="46"/>
      <c r="H97" s="46"/>
      <c r="I97" s="46"/>
      <c r="J97" s="46" t="s">
        <v>177</v>
      </c>
      <c r="K97" s="41" t="s">
        <v>178</v>
      </c>
      <c r="L97" s="95"/>
      <c r="M97" s="95"/>
      <c r="N97" s="25"/>
      <c r="O97" s="26"/>
      <c r="P97" s="26"/>
      <c r="Q97" s="26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25" t="s">
        <v>179</v>
      </c>
      <c r="AO97" s="33"/>
      <c r="AP97" s="25"/>
      <c r="AQ97" s="33"/>
      <c r="AR97" s="31"/>
      <c r="AS97" s="33"/>
      <c r="AT97" s="25"/>
      <c r="AU97" s="75"/>
      <c r="AV97" s="95"/>
      <c r="AW97" s="41"/>
      <c r="AX97" s="95"/>
      <c r="AY97" s="95"/>
      <c r="AZ97" s="95"/>
      <c r="BA97" s="95"/>
      <c r="BB97" s="95"/>
      <c r="BC97" s="75"/>
      <c r="BD97" s="95"/>
      <c r="BE97" s="75"/>
      <c r="BF97" s="95"/>
      <c r="BG97" s="95"/>
      <c r="BH97" s="95"/>
      <c r="BI97" s="95"/>
      <c r="BJ97" s="75">
        <v>33745</v>
      </c>
      <c r="BK97" s="76">
        <v>22.51</v>
      </c>
      <c r="BL97" s="45" t="s">
        <v>180</v>
      </c>
      <c r="BM97" s="82" t="s">
        <v>181</v>
      </c>
      <c r="BN97" s="98"/>
      <c r="BO97" s="98"/>
      <c r="BP97" s="98"/>
      <c r="BQ97" s="93">
        <v>3.7007874015748032</v>
      </c>
      <c r="BR97" s="93">
        <v>3.7795275590551185</v>
      </c>
      <c r="BS97" s="80">
        <v>0.9055118110236221</v>
      </c>
      <c r="BT97" s="100"/>
      <c r="BU97" s="100"/>
      <c r="BV97" s="100"/>
      <c r="BW97" s="38"/>
      <c r="BX97" s="78">
        <v>0.42499999999999999</v>
      </c>
      <c r="BY97" s="94">
        <v>11.93</v>
      </c>
      <c r="BZ97" s="94">
        <v>8</v>
      </c>
      <c r="CA97" s="94">
        <v>4.62</v>
      </c>
      <c r="CB97" s="47">
        <v>0.25516944444444445</v>
      </c>
      <c r="CC97" s="47">
        <v>2.5499999999999998</v>
      </c>
      <c r="CD97" s="47"/>
      <c r="CE97" s="47"/>
      <c r="CF97" s="43" t="s">
        <v>164</v>
      </c>
      <c r="CG97" s="72">
        <v>6</v>
      </c>
      <c r="CH97" s="72">
        <v>20</v>
      </c>
      <c r="CI97" s="72">
        <v>9</v>
      </c>
      <c r="CJ97" s="27">
        <v>1080</v>
      </c>
      <c r="CK97" s="27">
        <v>509</v>
      </c>
      <c r="CL97" s="27" t="s">
        <v>165</v>
      </c>
      <c r="CM97" s="79" t="s">
        <v>166</v>
      </c>
      <c r="CN97" s="8"/>
      <c r="CO97" s="8"/>
    </row>
    <row r="98" spans="1:93" x14ac:dyDescent="0.25">
      <c r="A98" s="88">
        <v>42482</v>
      </c>
      <c r="B98" s="72" t="s">
        <v>12</v>
      </c>
      <c r="C98" s="72" t="s">
        <v>182</v>
      </c>
      <c r="D98" s="73" t="s">
        <v>54</v>
      </c>
      <c r="E98" s="73" t="s">
        <v>59</v>
      </c>
      <c r="F98" s="46" t="s">
        <v>183</v>
      </c>
      <c r="G98" s="46"/>
      <c r="H98" s="46"/>
      <c r="I98" s="46"/>
      <c r="J98" s="46" t="s">
        <v>177</v>
      </c>
      <c r="K98" s="41">
        <v>3006265011</v>
      </c>
      <c r="L98" s="95"/>
      <c r="M98" s="95"/>
      <c r="N98" s="25"/>
      <c r="O98" s="26"/>
      <c r="P98" s="26"/>
      <c r="Q98" s="26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25" t="s">
        <v>184</v>
      </c>
      <c r="AO98" s="33"/>
      <c r="AP98" s="25"/>
      <c r="AQ98" s="33"/>
      <c r="AR98" s="31" t="s">
        <v>185</v>
      </c>
      <c r="AS98" s="33"/>
      <c r="AT98" s="25" t="s">
        <v>186</v>
      </c>
      <c r="AU98" s="75"/>
      <c r="AV98" s="24"/>
      <c r="AW98" s="41"/>
      <c r="AX98" s="95"/>
      <c r="AY98" s="95"/>
      <c r="AZ98" s="95"/>
      <c r="BA98" s="95"/>
      <c r="BB98" s="95"/>
      <c r="BC98" s="95"/>
      <c r="BD98" s="95"/>
      <c r="BE98" s="24"/>
      <c r="BF98" s="95"/>
      <c r="BG98" s="95"/>
      <c r="BH98" s="95"/>
      <c r="BI98" s="95"/>
      <c r="BJ98" s="75"/>
      <c r="BK98" s="76">
        <v>19.23</v>
      </c>
      <c r="BL98" s="45" t="s">
        <v>187</v>
      </c>
      <c r="BM98" s="82" t="s">
        <v>188</v>
      </c>
      <c r="BN98" s="98"/>
      <c r="BO98" s="98"/>
      <c r="BP98" s="98"/>
      <c r="BQ98" s="93">
        <v>3.6220472440944884</v>
      </c>
      <c r="BR98" s="93">
        <v>5.6299212598425203</v>
      </c>
      <c r="BS98" s="80">
        <v>0.59055118110236227</v>
      </c>
      <c r="BT98" s="100"/>
      <c r="BU98" s="100"/>
      <c r="BV98" s="100"/>
      <c r="BW98" s="38"/>
      <c r="BX98" s="78">
        <v>0.42499999999999999</v>
      </c>
      <c r="BY98" s="94">
        <v>11.936999999999999</v>
      </c>
      <c r="BZ98" s="94">
        <v>8</v>
      </c>
      <c r="CA98" s="94">
        <v>6.375</v>
      </c>
      <c r="CB98" s="47">
        <v>0.35230729166666663</v>
      </c>
      <c r="CC98" s="47">
        <v>2.5499999999999998</v>
      </c>
      <c r="CD98" s="47"/>
      <c r="CE98" s="47"/>
      <c r="CF98" s="43" t="s">
        <v>164</v>
      </c>
      <c r="CG98" s="72">
        <v>6</v>
      </c>
      <c r="CH98" s="72">
        <v>20</v>
      </c>
      <c r="CI98" s="72">
        <v>7</v>
      </c>
      <c r="CJ98" s="27">
        <v>840</v>
      </c>
      <c r="CK98" s="27">
        <v>407</v>
      </c>
      <c r="CL98" s="27" t="s">
        <v>165</v>
      </c>
      <c r="CM98" s="79" t="s">
        <v>166</v>
      </c>
      <c r="CN98" s="8"/>
      <c r="CO98" s="8"/>
    </row>
    <row r="99" spans="1:93" ht="45" x14ac:dyDescent="0.25">
      <c r="A99" s="88">
        <v>42482</v>
      </c>
      <c r="B99" s="73" t="s">
        <v>12</v>
      </c>
      <c r="C99" s="73" t="s">
        <v>189</v>
      </c>
      <c r="D99" s="73" t="s">
        <v>54</v>
      </c>
      <c r="E99" s="73" t="s">
        <v>59</v>
      </c>
      <c r="F99" s="84" t="s">
        <v>190</v>
      </c>
      <c r="G99" s="84"/>
      <c r="H99" s="84"/>
      <c r="I99" s="84"/>
      <c r="J99" s="41" t="s">
        <v>169</v>
      </c>
      <c r="K99" s="85" t="s">
        <v>191</v>
      </c>
      <c r="L99" s="95" t="s">
        <v>192</v>
      </c>
      <c r="M99" s="95">
        <v>4411637</v>
      </c>
      <c r="N99" s="25" t="s">
        <v>193</v>
      </c>
      <c r="O99" s="26" t="s">
        <v>191</v>
      </c>
      <c r="P99" s="26"/>
      <c r="Q99" s="26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25" t="s">
        <v>194</v>
      </c>
      <c r="AO99" s="33"/>
      <c r="AP99" s="25"/>
      <c r="AQ99" s="33"/>
      <c r="AR99" s="31"/>
      <c r="AS99" s="33"/>
      <c r="AT99" s="25"/>
      <c r="AU99" s="75"/>
      <c r="AV99" s="95"/>
      <c r="AW99" s="41"/>
      <c r="AX99" s="95"/>
      <c r="AY99" s="95"/>
      <c r="AZ99" s="95"/>
      <c r="BA99" s="95"/>
      <c r="BB99" s="95"/>
      <c r="BC99" s="95"/>
      <c r="BD99" s="95"/>
      <c r="BE99" s="31"/>
      <c r="BF99" s="95"/>
      <c r="BG99" s="95"/>
      <c r="BH99" s="95"/>
      <c r="BI99" s="95"/>
      <c r="BJ99" s="75"/>
      <c r="BK99" s="76">
        <v>19.98</v>
      </c>
      <c r="BL99" s="45" t="s">
        <v>195</v>
      </c>
      <c r="BM99" s="82" t="s">
        <v>196</v>
      </c>
      <c r="BN99" s="98"/>
      <c r="BO99" s="98"/>
      <c r="BP99" s="98"/>
      <c r="BQ99" s="93">
        <v>2.7952755905511815</v>
      </c>
      <c r="BR99" s="93">
        <v>4.7637795275590555</v>
      </c>
      <c r="BS99" s="77">
        <v>0.78740157480314965</v>
      </c>
      <c r="BT99" s="38"/>
      <c r="BU99" s="38"/>
      <c r="BV99" s="38"/>
      <c r="BW99" s="38"/>
      <c r="BX99" s="78">
        <v>0.42499999999999999</v>
      </c>
      <c r="BY99" s="94">
        <v>10</v>
      </c>
      <c r="BZ99" s="94">
        <v>6.75</v>
      </c>
      <c r="CA99" s="94">
        <v>5.5</v>
      </c>
      <c r="CB99" s="92">
        <v>0.21484375</v>
      </c>
      <c r="CC99" s="92">
        <v>2.5499999999999998</v>
      </c>
      <c r="CD99" s="301"/>
      <c r="CE99" s="301"/>
      <c r="CF99" s="43" t="s">
        <v>164</v>
      </c>
      <c r="CG99" s="72">
        <v>6</v>
      </c>
      <c r="CH99" s="72">
        <v>26</v>
      </c>
      <c r="CI99" s="72">
        <v>8</v>
      </c>
      <c r="CJ99" s="27">
        <v>1248</v>
      </c>
      <c r="CK99" s="27">
        <v>580.4</v>
      </c>
      <c r="CL99" s="27" t="s">
        <v>165</v>
      </c>
      <c r="CM99" s="89" t="s">
        <v>166</v>
      </c>
      <c r="CN99" s="8"/>
      <c r="CO99" s="8"/>
    </row>
    <row r="100" spans="1:93" x14ac:dyDescent="0.25">
      <c r="A100" s="88">
        <v>42482</v>
      </c>
      <c r="B100" s="74" t="s">
        <v>12</v>
      </c>
      <c r="C100" s="73" t="s">
        <v>197</v>
      </c>
      <c r="D100" s="73" t="s">
        <v>54</v>
      </c>
      <c r="E100" s="73" t="s">
        <v>59</v>
      </c>
      <c r="F100" s="90" t="s">
        <v>198</v>
      </c>
      <c r="G100" s="90"/>
      <c r="H100" s="90"/>
      <c r="I100" s="90"/>
      <c r="J100" s="46" t="s">
        <v>177</v>
      </c>
      <c r="K100" s="41" t="s">
        <v>199</v>
      </c>
      <c r="L100" s="95"/>
      <c r="M100" s="95"/>
      <c r="N100" s="25"/>
      <c r="O100" s="26"/>
      <c r="P100" s="26"/>
      <c r="Q100" s="26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25" t="s">
        <v>200</v>
      </c>
      <c r="AO100" s="33"/>
      <c r="AP100" s="25"/>
      <c r="AQ100" s="33"/>
      <c r="AR100" s="31" t="s">
        <v>201</v>
      </c>
      <c r="AS100" s="33"/>
      <c r="AT100" s="25" t="s">
        <v>202</v>
      </c>
      <c r="AU100" s="75"/>
      <c r="AV100" s="95"/>
      <c r="AW100" s="41"/>
      <c r="AX100" s="95"/>
      <c r="AY100" s="95"/>
      <c r="AZ100" s="95"/>
      <c r="BA100" s="95"/>
      <c r="BB100" s="95"/>
      <c r="BC100" s="95"/>
      <c r="BD100" s="95"/>
      <c r="BE100" s="31"/>
      <c r="BF100" s="95"/>
      <c r="BG100" s="95"/>
      <c r="BH100" s="95"/>
      <c r="BI100" s="95"/>
      <c r="BJ100" s="75"/>
      <c r="BK100" s="76">
        <v>16.39</v>
      </c>
      <c r="BL100" s="45" t="s">
        <v>203</v>
      </c>
      <c r="BM100" s="82" t="s">
        <v>204</v>
      </c>
      <c r="BN100" s="98"/>
      <c r="BO100" s="98"/>
      <c r="BP100" s="98"/>
      <c r="BQ100" s="93">
        <v>3.7401574803149606</v>
      </c>
      <c r="BR100" s="93">
        <v>3.8582677165354333</v>
      </c>
      <c r="BS100" s="77">
        <v>1.0629921259842521</v>
      </c>
      <c r="BT100" s="38"/>
      <c r="BU100" s="38"/>
      <c r="BV100" s="38"/>
      <c r="BW100" s="38"/>
      <c r="BX100" s="78">
        <v>0.42499999999999999</v>
      </c>
      <c r="BY100" s="94">
        <v>11.93</v>
      </c>
      <c r="BZ100" s="94">
        <v>8</v>
      </c>
      <c r="CA100" s="94">
        <v>4.62</v>
      </c>
      <c r="CB100" s="92">
        <v>0.25516944444444445</v>
      </c>
      <c r="CC100" s="92">
        <v>2.5499999999999998</v>
      </c>
      <c r="CD100" s="301"/>
      <c r="CE100" s="301"/>
      <c r="CF100" s="43" t="s">
        <v>164</v>
      </c>
      <c r="CG100" s="27">
        <v>6</v>
      </c>
      <c r="CH100" s="27">
        <v>20</v>
      </c>
      <c r="CI100" s="27">
        <v>9</v>
      </c>
      <c r="CJ100" s="27">
        <v>1080</v>
      </c>
      <c r="CK100" s="27">
        <v>509</v>
      </c>
      <c r="CL100" s="27" t="s">
        <v>165</v>
      </c>
      <c r="CM100" s="89" t="s">
        <v>166</v>
      </c>
      <c r="CN100" s="8"/>
      <c r="CO100" s="8"/>
    </row>
    <row r="101" spans="1:93" ht="30" x14ac:dyDescent="0.25">
      <c r="A101" s="88">
        <v>42482</v>
      </c>
      <c r="B101" s="73" t="s">
        <v>12</v>
      </c>
      <c r="C101" s="73" t="s">
        <v>205</v>
      </c>
      <c r="D101" s="73" t="s">
        <v>54</v>
      </c>
      <c r="E101" s="73" t="s">
        <v>73</v>
      </c>
      <c r="F101" s="84" t="s">
        <v>206</v>
      </c>
      <c r="G101" s="84"/>
      <c r="H101" s="84"/>
      <c r="I101" s="84"/>
      <c r="J101" s="41" t="s">
        <v>207</v>
      </c>
      <c r="K101" s="85" t="s">
        <v>208</v>
      </c>
      <c r="L101" s="95"/>
      <c r="M101" s="95"/>
      <c r="N101" s="25"/>
      <c r="O101" s="26"/>
      <c r="P101" s="26"/>
      <c r="Q101" s="26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25" t="s">
        <v>209</v>
      </c>
      <c r="AO101" s="33"/>
      <c r="AP101" s="25"/>
      <c r="AQ101" s="33"/>
      <c r="AR101" s="31" t="s">
        <v>210</v>
      </c>
      <c r="AS101" s="33"/>
      <c r="AT101" s="25"/>
      <c r="AU101" s="75"/>
      <c r="AV101" s="95"/>
      <c r="AW101" s="41"/>
      <c r="AX101" s="95"/>
      <c r="AY101" s="95"/>
      <c r="AZ101" s="95"/>
      <c r="BA101" s="95"/>
      <c r="BB101" s="95"/>
      <c r="BC101" s="95"/>
      <c r="BD101" s="95"/>
      <c r="BE101" s="31"/>
      <c r="BF101" s="95"/>
      <c r="BG101" s="95"/>
      <c r="BH101" s="95"/>
      <c r="BI101" s="95"/>
      <c r="BJ101" s="75"/>
      <c r="BK101" s="76">
        <v>118.71</v>
      </c>
      <c r="BL101" s="97" t="s">
        <v>211</v>
      </c>
      <c r="BM101" s="82" t="s">
        <v>212</v>
      </c>
      <c r="BN101" s="98"/>
      <c r="BO101" s="98"/>
      <c r="BP101" s="98"/>
      <c r="BQ101" s="93">
        <v>2.8346456692913389</v>
      </c>
      <c r="BR101" s="93">
        <v>11.811023622047244</v>
      </c>
      <c r="BS101" s="96"/>
      <c r="BT101" s="94">
        <v>3.625</v>
      </c>
      <c r="BU101" s="94">
        <v>3.625</v>
      </c>
      <c r="BV101" s="94">
        <v>15.25</v>
      </c>
      <c r="BW101" s="92">
        <v>0.11596905743634259</v>
      </c>
      <c r="BX101" s="78">
        <v>1.1000000000000001</v>
      </c>
      <c r="BY101" s="492" t="s">
        <v>213</v>
      </c>
      <c r="BZ101" s="493"/>
      <c r="CA101" s="493"/>
      <c r="CB101" s="493"/>
      <c r="CC101" s="494"/>
      <c r="CD101" s="300"/>
      <c r="CE101" s="300"/>
      <c r="CF101" s="43" t="s">
        <v>164</v>
      </c>
      <c r="CG101" s="72">
        <v>1</v>
      </c>
      <c r="CH101" s="72">
        <v>143</v>
      </c>
      <c r="CI101" s="72">
        <v>2</v>
      </c>
      <c r="CJ101" s="27">
        <v>286</v>
      </c>
      <c r="CK101" s="27">
        <v>364.6</v>
      </c>
      <c r="CL101" s="27" t="s">
        <v>214</v>
      </c>
      <c r="CM101" s="89" t="s">
        <v>215</v>
      </c>
      <c r="CN101" s="8"/>
      <c r="CO101" s="8"/>
    </row>
    <row r="102" spans="1:93" x14ac:dyDescent="0.25">
      <c r="A102" s="88">
        <v>42482</v>
      </c>
      <c r="B102" s="74" t="s">
        <v>12</v>
      </c>
      <c r="C102" s="73" t="s">
        <v>216</v>
      </c>
      <c r="D102" s="73" t="s">
        <v>54</v>
      </c>
      <c r="E102" s="73" t="s">
        <v>73</v>
      </c>
      <c r="F102" s="84" t="s">
        <v>217</v>
      </c>
      <c r="G102" s="84"/>
      <c r="H102" s="84"/>
      <c r="I102" s="84"/>
      <c r="J102" s="41" t="s">
        <v>218</v>
      </c>
      <c r="K102" s="85" t="s">
        <v>219</v>
      </c>
      <c r="L102" s="95"/>
      <c r="M102" s="95"/>
      <c r="N102" s="25"/>
      <c r="O102" s="26"/>
      <c r="P102" s="26"/>
      <c r="Q102" s="26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25" t="s">
        <v>220</v>
      </c>
      <c r="AO102" s="33"/>
      <c r="AP102" s="25"/>
      <c r="AQ102" s="33"/>
      <c r="AR102" s="31" t="s">
        <v>221</v>
      </c>
      <c r="AS102" s="33"/>
      <c r="AT102" s="25"/>
      <c r="AU102" s="75"/>
      <c r="AV102" s="95"/>
      <c r="AW102" s="41"/>
      <c r="AX102" s="95"/>
      <c r="AY102" s="95"/>
      <c r="AZ102" s="95"/>
      <c r="BA102" s="95"/>
      <c r="BB102" s="95"/>
      <c r="BC102" s="95"/>
      <c r="BD102" s="95"/>
      <c r="BE102" s="31"/>
      <c r="BF102" s="95"/>
      <c r="BG102" s="95"/>
      <c r="BH102" s="95"/>
      <c r="BI102" s="95"/>
      <c r="BJ102" s="75" t="s">
        <v>222</v>
      </c>
      <c r="BK102" s="76">
        <v>149.27000000000001</v>
      </c>
      <c r="BL102" s="45" t="s">
        <v>223</v>
      </c>
      <c r="BM102" s="82" t="s">
        <v>224</v>
      </c>
      <c r="BN102" s="98"/>
      <c r="BO102" s="98"/>
      <c r="BP102" s="98"/>
      <c r="BQ102" s="93">
        <v>3.8976377952755907</v>
      </c>
      <c r="BR102" s="93">
        <v>8.2677165354330722</v>
      </c>
      <c r="BS102" s="77">
        <v>1.5748031496062993</v>
      </c>
      <c r="BT102" s="94">
        <v>4.125</v>
      </c>
      <c r="BU102" s="94">
        <v>4.125</v>
      </c>
      <c r="BV102" s="94">
        <v>10.25</v>
      </c>
      <c r="BW102" s="47">
        <v>0.10093180338541667</v>
      </c>
      <c r="BX102" s="78">
        <v>1.6</v>
      </c>
      <c r="BY102" s="492" t="s">
        <v>213</v>
      </c>
      <c r="BZ102" s="493"/>
      <c r="CA102" s="493"/>
      <c r="CB102" s="493"/>
      <c r="CC102" s="494"/>
      <c r="CD102" s="300"/>
      <c r="CE102" s="300"/>
      <c r="CF102" s="43" t="s">
        <v>164</v>
      </c>
      <c r="CG102" s="72">
        <v>1</v>
      </c>
      <c r="CH102" s="72">
        <v>120</v>
      </c>
      <c r="CI102" s="72">
        <v>4</v>
      </c>
      <c r="CJ102" s="27">
        <v>480</v>
      </c>
      <c r="CK102" s="27">
        <v>818</v>
      </c>
      <c r="CL102" s="72" t="s">
        <v>214</v>
      </c>
      <c r="CM102" s="89" t="s">
        <v>215</v>
      </c>
      <c r="CN102" s="8"/>
      <c r="CO102" s="8"/>
    </row>
    <row r="103" spans="1:93" x14ac:dyDescent="0.25">
      <c r="A103" s="88">
        <v>42482</v>
      </c>
      <c r="B103" s="74" t="s">
        <v>12</v>
      </c>
      <c r="C103" s="72" t="s">
        <v>225</v>
      </c>
      <c r="D103" s="73" t="s">
        <v>54</v>
      </c>
      <c r="E103" s="73" t="s">
        <v>73</v>
      </c>
      <c r="F103" s="84" t="s">
        <v>226</v>
      </c>
      <c r="G103" s="84"/>
      <c r="H103" s="84"/>
      <c r="I103" s="84"/>
      <c r="J103" s="41" t="s">
        <v>227</v>
      </c>
      <c r="K103" s="85">
        <v>1799806</v>
      </c>
      <c r="L103" s="95" t="s">
        <v>227</v>
      </c>
      <c r="M103" s="95">
        <v>2166676</v>
      </c>
      <c r="N103" s="25"/>
      <c r="O103" s="26"/>
      <c r="P103" s="26"/>
      <c r="Q103" s="26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25" t="s">
        <v>228</v>
      </c>
      <c r="AO103" s="33"/>
      <c r="AP103" s="25"/>
      <c r="AQ103" s="33"/>
      <c r="AR103" s="31" t="s">
        <v>229</v>
      </c>
      <c r="AS103" s="33"/>
      <c r="AT103" s="25" t="s">
        <v>230</v>
      </c>
      <c r="AU103" s="75"/>
      <c r="AV103" s="95"/>
      <c r="AW103" s="41"/>
      <c r="AX103" s="95"/>
      <c r="AY103" s="95"/>
      <c r="AZ103" s="95"/>
      <c r="BA103" s="95"/>
      <c r="BB103" s="95"/>
      <c r="BC103" s="95"/>
      <c r="BD103" s="95"/>
      <c r="BE103" s="31"/>
      <c r="BF103" s="95"/>
      <c r="BG103" s="95"/>
      <c r="BH103" s="95"/>
      <c r="BI103" s="95"/>
      <c r="BJ103" s="75">
        <v>57896</v>
      </c>
      <c r="BK103" s="76">
        <v>230.97</v>
      </c>
      <c r="BL103" s="97" t="s">
        <v>231</v>
      </c>
      <c r="BM103" s="82" t="s">
        <v>232</v>
      </c>
      <c r="BN103" s="98"/>
      <c r="BO103" s="98"/>
      <c r="BP103" s="98"/>
      <c r="BQ103" s="93">
        <v>5.5118110236220472</v>
      </c>
      <c r="BR103" s="93">
        <v>16.811023622047244</v>
      </c>
      <c r="BS103" s="81">
        <v>3.8582677165354333</v>
      </c>
      <c r="BT103" s="94">
        <v>6.3125</v>
      </c>
      <c r="BU103" s="94">
        <v>6.3125</v>
      </c>
      <c r="BV103" s="94">
        <v>18.625</v>
      </c>
      <c r="BW103" s="47">
        <v>0.42949224401403358</v>
      </c>
      <c r="BX103" s="81">
        <v>6.4</v>
      </c>
      <c r="BY103" s="492" t="s">
        <v>213</v>
      </c>
      <c r="BZ103" s="493"/>
      <c r="CA103" s="493"/>
      <c r="CB103" s="493"/>
      <c r="CC103" s="494"/>
      <c r="CD103" s="300"/>
      <c r="CE103" s="300"/>
      <c r="CF103" s="43" t="s">
        <v>164</v>
      </c>
      <c r="CG103" s="72">
        <v>1</v>
      </c>
      <c r="CH103" s="72">
        <v>48</v>
      </c>
      <c r="CI103" s="72">
        <v>2</v>
      </c>
      <c r="CJ103" s="27">
        <v>96</v>
      </c>
      <c r="CK103" s="27">
        <v>664.40000000000009</v>
      </c>
      <c r="CL103" s="27" t="s">
        <v>214</v>
      </c>
      <c r="CM103" s="89" t="s">
        <v>215</v>
      </c>
      <c r="CN103" s="8"/>
      <c r="CO103" s="8"/>
    </row>
    <row r="104" spans="1:93" s="1" customFormat="1" x14ac:dyDescent="0.25">
      <c r="A104" s="88">
        <v>42395</v>
      </c>
      <c r="B104" s="73" t="s">
        <v>12</v>
      </c>
      <c r="C104" s="73" t="s">
        <v>233</v>
      </c>
      <c r="D104" s="73" t="s">
        <v>106</v>
      </c>
      <c r="E104" s="16" t="s">
        <v>234</v>
      </c>
      <c r="F104" s="84" t="s">
        <v>235</v>
      </c>
      <c r="G104" s="84"/>
      <c r="H104" s="84"/>
      <c r="I104" s="84"/>
      <c r="J104" s="41" t="s">
        <v>236</v>
      </c>
      <c r="K104" s="85" t="s">
        <v>237</v>
      </c>
      <c r="L104" s="95"/>
      <c r="M104" s="95"/>
      <c r="N104" s="25"/>
      <c r="O104" s="26"/>
      <c r="P104" s="26"/>
      <c r="Q104" s="26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25"/>
      <c r="AO104" s="33"/>
      <c r="AP104" s="25"/>
      <c r="AQ104" s="33"/>
      <c r="AR104" s="31"/>
      <c r="AS104" s="33"/>
      <c r="AT104" s="25"/>
      <c r="AU104" s="75" t="s">
        <v>238</v>
      </c>
      <c r="AV104" s="95"/>
      <c r="AW104" s="41"/>
      <c r="AX104" s="95"/>
      <c r="AY104" s="95"/>
      <c r="AZ104" s="95"/>
      <c r="BA104" s="95"/>
      <c r="BB104" s="95" t="s">
        <v>233</v>
      </c>
      <c r="BC104" s="95"/>
      <c r="BD104" s="95"/>
      <c r="BE104" s="31" t="s">
        <v>239</v>
      </c>
      <c r="BF104" s="95" t="s">
        <v>240</v>
      </c>
      <c r="BG104" s="95" t="s">
        <v>241</v>
      </c>
      <c r="BH104" s="95"/>
      <c r="BI104" s="95" t="s">
        <v>242</v>
      </c>
      <c r="BJ104" s="75">
        <v>49760</v>
      </c>
      <c r="BK104" s="76">
        <v>20.82</v>
      </c>
      <c r="BL104" s="82" t="s">
        <v>243</v>
      </c>
      <c r="BM104" s="82" t="s">
        <v>244</v>
      </c>
      <c r="BN104" s="93">
        <v>12.2</v>
      </c>
      <c r="BO104" s="93">
        <v>7.34</v>
      </c>
      <c r="BP104" s="93">
        <v>2.0499999999999998</v>
      </c>
      <c r="BQ104" s="93"/>
      <c r="BR104" s="93"/>
      <c r="BS104" s="78"/>
      <c r="BT104" s="117">
        <f>7.75+0.036</f>
        <v>7.7859999999999996</v>
      </c>
      <c r="BU104" s="117">
        <f>2.5+0.036</f>
        <v>2.536</v>
      </c>
      <c r="BV104" s="117">
        <f>12.75+0.072</f>
        <v>12.821999999999999</v>
      </c>
      <c r="BW104" s="92">
        <f>(BT104*BU104*BV104)/1728</f>
        <v>0.14651283872222221</v>
      </c>
      <c r="BX104" s="81">
        <f>0.76+0.22</f>
        <v>0.98</v>
      </c>
      <c r="BY104" s="47">
        <f>15.38+0.25</f>
        <v>15.63</v>
      </c>
      <c r="BZ104" s="47">
        <v>13.5</v>
      </c>
      <c r="CA104" s="47">
        <v>8.5</v>
      </c>
      <c r="CB104" s="47">
        <f>(BY104*BZ104*CA104)/1728</f>
        <v>1.0379296875000001</v>
      </c>
      <c r="CC104" s="47">
        <v>0.92</v>
      </c>
      <c r="CD104" s="47"/>
      <c r="CE104" s="47"/>
      <c r="CF104" s="43" t="s">
        <v>135</v>
      </c>
      <c r="CG104" s="74">
        <v>6</v>
      </c>
      <c r="CH104" s="74">
        <v>6</v>
      </c>
      <c r="CI104" s="74">
        <v>5</v>
      </c>
      <c r="CJ104" s="27">
        <f t="shared" ref="CJ104:CJ146" si="25">CG104*CH104*CI104</f>
        <v>180</v>
      </c>
      <c r="CK104" s="27">
        <f>(((BX104*CG104)+CC104)*CH104*CI104)+50</f>
        <v>254</v>
      </c>
      <c r="CL104" s="74" t="s">
        <v>136</v>
      </c>
      <c r="CM104" s="83" t="s">
        <v>137</v>
      </c>
      <c r="CN104" s="71"/>
      <c r="CO104" s="71"/>
    </row>
    <row r="105" spans="1:93" s="1" customFormat="1" x14ac:dyDescent="0.25">
      <c r="A105" s="88">
        <v>42395</v>
      </c>
      <c r="B105" s="73" t="s">
        <v>12</v>
      </c>
      <c r="C105" s="73" t="s">
        <v>245</v>
      </c>
      <c r="D105" s="73" t="s">
        <v>106</v>
      </c>
      <c r="E105" s="73" t="s">
        <v>101</v>
      </c>
      <c r="F105" s="46" t="s">
        <v>246</v>
      </c>
      <c r="G105" s="46"/>
      <c r="H105" s="46"/>
      <c r="I105" s="46"/>
      <c r="J105" s="24" t="s">
        <v>91</v>
      </c>
      <c r="K105" s="41" t="s">
        <v>247</v>
      </c>
      <c r="L105" s="95"/>
      <c r="M105" s="95"/>
      <c r="N105" s="25"/>
      <c r="O105" s="26"/>
      <c r="P105" s="26"/>
      <c r="Q105" s="26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25"/>
      <c r="AO105" s="33"/>
      <c r="AP105" s="25"/>
      <c r="AQ105" s="33"/>
      <c r="AR105" s="31"/>
      <c r="AS105" s="33"/>
      <c r="AT105" s="25"/>
      <c r="AU105" s="24"/>
      <c r="AV105" s="24"/>
      <c r="AW105" s="41"/>
      <c r="AX105" s="95"/>
      <c r="AY105" s="95"/>
      <c r="AZ105" s="95"/>
      <c r="BA105" s="95"/>
      <c r="BB105" s="95"/>
      <c r="BC105" s="95"/>
      <c r="BD105" s="95"/>
      <c r="BE105" s="24"/>
      <c r="BF105" s="95"/>
      <c r="BG105" s="95"/>
      <c r="BH105" s="95"/>
      <c r="BI105" s="95"/>
      <c r="BJ105" s="118"/>
      <c r="BK105" s="119">
        <v>20.99</v>
      </c>
      <c r="BL105" s="103" t="s">
        <v>248</v>
      </c>
      <c r="BM105" s="103" t="s">
        <v>249</v>
      </c>
      <c r="BN105" s="104">
        <v>9.4499999999999993</v>
      </c>
      <c r="BO105" s="104">
        <v>7.48</v>
      </c>
      <c r="BP105" s="104">
        <v>0.98</v>
      </c>
      <c r="BQ105" s="36"/>
      <c r="BR105" s="36"/>
      <c r="BS105" s="77">
        <v>0.1</v>
      </c>
      <c r="BT105" s="120">
        <f>9.25+0.018+0.018</f>
        <v>9.2860000000000014</v>
      </c>
      <c r="BU105" s="74">
        <f>1.31+0.018+0.018</f>
        <v>1.3460000000000001</v>
      </c>
      <c r="BV105" s="74">
        <f>9.47+(0.018*4)</f>
        <v>9.5419999999999998</v>
      </c>
      <c r="BW105" s="92">
        <f t="shared" ref="BW105:BW142" si="26">(BV105*BU105*BT105)/1728</f>
        <v>6.9019119300925941E-2</v>
      </c>
      <c r="BX105" s="78">
        <v>0.12</v>
      </c>
      <c r="BY105" s="94">
        <v>10.5</v>
      </c>
      <c r="BZ105" s="94">
        <v>8.75</v>
      </c>
      <c r="CA105" s="94">
        <v>9.75</v>
      </c>
      <c r="CB105" s="92">
        <f t="shared" ref="CB105:CB119" si="27">(CA105*BZ105*BY105)/1728</f>
        <v>0.51839192708333337</v>
      </c>
      <c r="CC105" s="121">
        <v>0.28000000000000003</v>
      </c>
      <c r="CD105" s="121"/>
      <c r="CE105" s="121"/>
      <c r="CF105" s="105" t="s">
        <v>135</v>
      </c>
      <c r="CG105" s="72">
        <v>6</v>
      </c>
      <c r="CH105" s="72">
        <v>18</v>
      </c>
      <c r="CI105" s="72">
        <v>4</v>
      </c>
      <c r="CJ105" s="27">
        <f t="shared" si="25"/>
        <v>432</v>
      </c>
      <c r="CK105" s="27">
        <f t="shared" ref="CK105:CK117" si="28">((((BS105+BX105)*CG105)+CC105)*CH105*CI105)+50</f>
        <v>165.2</v>
      </c>
      <c r="CL105" s="72" t="s">
        <v>140</v>
      </c>
      <c r="CM105" s="79" t="s">
        <v>137</v>
      </c>
      <c r="CN105" s="71"/>
      <c r="CO105" s="71"/>
    </row>
    <row r="106" spans="1:93" s="1" customFormat="1" x14ac:dyDescent="0.25">
      <c r="A106" s="88">
        <v>42395</v>
      </c>
      <c r="B106" s="73" t="s">
        <v>12</v>
      </c>
      <c r="C106" s="73" t="s">
        <v>250</v>
      </c>
      <c r="D106" s="73" t="s">
        <v>106</v>
      </c>
      <c r="E106" s="73" t="s">
        <v>101</v>
      </c>
      <c r="F106" s="84" t="s">
        <v>251</v>
      </c>
      <c r="G106" s="84"/>
      <c r="H106" s="84"/>
      <c r="I106" s="84"/>
      <c r="J106" s="75" t="s">
        <v>47</v>
      </c>
      <c r="K106" s="31" t="s">
        <v>252</v>
      </c>
      <c r="L106" s="95"/>
      <c r="M106" s="95"/>
      <c r="N106" s="25"/>
      <c r="O106" s="26"/>
      <c r="P106" s="26"/>
      <c r="Q106" s="26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25" t="s">
        <v>253</v>
      </c>
      <c r="AO106" s="33"/>
      <c r="AP106" s="25"/>
      <c r="AQ106" s="33"/>
      <c r="AR106" s="31"/>
      <c r="AS106" s="33"/>
      <c r="AT106" s="25"/>
      <c r="AU106" s="75"/>
      <c r="AV106" s="75"/>
      <c r="AW106" s="41"/>
      <c r="AX106" s="95"/>
      <c r="AY106" s="95"/>
      <c r="AZ106" s="95"/>
      <c r="BA106" s="95"/>
      <c r="BB106" s="95"/>
      <c r="BC106" s="95"/>
      <c r="BD106" s="95"/>
      <c r="BE106" s="75"/>
      <c r="BF106" s="95"/>
      <c r="BG106" s="95"/>
      <c r="BH106" s="95"/>
      <c r="BI106" s="95"/>
      <c r="BJ106" s="75" t="s">
        <v>254</v>
      </c>
      <c r="BK106" s="76">
        <v>12.65</v>
      </c>
      <c r="BL106" s="103" t="s">
        <v>255</v>
      </c>
      <c r="BM106" s="103" t="s">
        <v>256</v>
      </c>
      <c r="BN106" s="104">
        <v>10.8</v>
      </c>
      <c r="BO106" s="104">
        <v>8.75</v>
      </c>
      <c r="BP106" s="104">
        <v>0.75</v>
      </c>
      <c r="BQ106" s="36"/>
      <c r="BR106" s="36"/>
      <c r="BS106" s="77">
        <f>0.08</f>
        <v>0.08</v>
      </c>
      <c r="BT106" s="74">
        <f>9.46+0.036</f>
        <v>9.4960000000000004</v>
      </c>
      <c r="BU106" s="74">
        <f>1.156+0.036</f>
        <v>1.1919999999999999</v>
      </c>
      <c r="BV106" s="74">
        <f>10.843+0.072</f>
        <v>10.914999999999999</v>
      </c>
      <c r="BW106" s="92">
        <f t="shared" si="26"/>
        <v>7.1498505370370377E-2</v>
      </c>
      <c r="BX106" s="78">
        <f>0.15</f>
        <v>0.15</v>
      </c>
      <c r="BY106" s="94">
        <v>11.25</v>
      </c>
      <c r="BZ106" s="94">
        <v>8</v>
      </c>
      <c r="CA106" s="94">
        <v>11.5</v>
      </c>
      <c r="CB106" s="92">
        <f t="shared" si="27"/>
        <v>0.59895833333333337</v>
      </c>
      <c r="CC106" s="121">
        <v>0.53</v>
      </c>
      <c r="CD106" s="121"/>
      <c r="CE106" s="121"/>
      <c r="CF106" s="105" t="s">
        <v>135</v>
      </c>
      <c r="CG106" s="72">
        <v>6</v>
      </c>
      <c r="CH106" s="72">
        <v>20</v>
      </c>
      <c r="CI106" s="72">
        <v>3</v>
      </c>
      <c r="CJ106" s="27">
        <f t="shared" si="25"/>
        <v>360</v>
      </c>
      <c r="CK106" s="27">
        <f t="shared" si="28"/>
        <v>164.6</v>
      </c>
      <c r="CL106" s="72" t="s">
        <v>257</v>
      </c>
      <c r="CM106" s="79" t="s">
        <v>137</v>
      </c>
      <c r="CN106" s="71"/>
      <c r="CO106" s="71"/>
    </row>
    <row r="107" spans="1:93" s="1" customFormat="1" x14ac:dyDescent="0.25">
      <c r="A107" s="88">
        <v>42395</v>
      </c>
      <c r="B107" s="72" t="s">
        <v>12</v>
      </c>
      <c r="C107" s="72" t="s">
        <v>258</v>
      </c>
      <c r="D107" s="73" t="s">
        <v>106</v>
      </c>
      <c r="E107" s="73" t="s">
        <v>101</v>
      </c>
      <c r="F107" s="46" t="s">
        <v>259</v>
      </c>
      <c r="G107" s="46"/>
      <c r="H107" s="46"/>
      <c r="I107" s="46"/>
      <c r="J107" s="75" t="s">
        <v>108</v>
      </c>
      <c r="K107" s="41">
        <v>22808781</v>
      </c>
      <c r="L107" s="95"/>
      <c r="M107" s="95"/>
      <c r="N107" s="25"/>
      <c r="O107" s="26"/>
      <c r="P107" s="26"/>
      <c r="Q107" s="26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25" t="s">
        <v>260</v>
      </c>
      <c r="AO107" s="33"/>
      <c r="AP107" s="25"/>
      <c r="AQ107" s="33"/>
      <c r="AR107" s="31"/>
      <c r="AS107" s="33"/>
      <c r="AT107" s="25"/>
      <c r="AU107" s="75"/>
      <c r="AV107" s="95"/>
      <c r="AW107" s="41"/>
      <c r="AX107" s="95"/>
      <c r="AY107" s="95"/>
      <c r="AZ107" s="95"/>
      <c r="BA107" s="95"/>
      <c r="BB107" s="95"/>
      <c r="BC107" s="75"/>
      <c r="BD107" s="95"/>
      <c r="BE107" s="75"/>
      <c r="BF107" s="95"/>
      <c r="BG107" s="95"/>
      <c r="BH107" s="95"/>
      <c r="BI107" s="95"/>
      <c r="BJ107" s="75" t="s">
        <v>261</v>
      </c>
      <c r="BK107" s="76">
        <v>22.14</v>
      </c>
      <c r="BL107" s="45" t="s">
        <v>262</v>
      </c>
      <c r="BM107" s="45" t="s">
        <v>263</v>
      </c>
      <c r="BN107" s="104">
        <v>9.17</v>
      </c>
      <c r="BO107" s="104">
        <v>9.8000000000000007</v>
      </c>
      <c r="BP107" s="104">
        <v>1.18</v>
      </c>
      <c r="BQ107" s="36"/>
      <c r="BR107" s="36"/>
      <c r="BS107" s="80">
        <f>0.35</f>
        <v>0.35</v>
      </c>
      <c r="BT107" s="117">
        <f>10.031+0.018+0.018</f>
        <v>10.067000000000002</v>
      </c>
      <c r="BU107" s="117">
        <f>1.61+0.018+0.018</f>
        <v>1.6460000000000001</v>
      </c>
      <c r="BV107" s="117">
        <f>10.625+(4*0.018)</f>
        <v>10.696999999999999</v>
      </c>
      <c r="BW107" s="92">
        <f t="shared" si="26"/>
        <v>0.10257656629282409</v>
      </c>
      <c r="BX107" s="81">
        <f>0.15</f>
        <v>0.15</v>
      </c>
      <c r="BY107" s="117">
        <v>12</v>
      </c>
      <c r="BZ107" s="117">
        <v>10.37</v>
      </c>
      <c r="CA107" s="117">
        <v>10.62</v>
      </c>
      <c r="CB107" s="92">
        <f t="shared" si="27"/>
        <v>0.76478749999999995</v>
      </c>
      <c r="CC107" s="121">
        <v>0.66</v>
      </c>
      <c r="CD107" s="121"/>
      <c r="CE107" s="121"/>
      <c r="CF107" s="72" t="s">
        <v>135</v>
      </c>
      <c r="CG107" s="72">
        <v>6</v>
      </c>
      <c r="CH107" s="72">
        <v>12</v>
      </c>
      <c r="CI107" s="72">
        <v>4</v>
      </c>
      <c r="CJ107" s="27">
        <f t="shared" si="25"/>
        <v>288</v>
      </c>
      <c r="CK107" s="27">
        <f t="shared" si="28"/>
        <v>225.68</v>
      </c>
      <c r="CL107" s="27" t="s">
        <v>140</v>
      </c>
      <c r="CM107" s="79" t="s">
        <v>141</v>
      </c>
      <c r="CN107" s="71"/>
      <c r="CO107" s="71"/>
    </row>
    <row r="108" spans="1:93" s="1" customFormat="1" x14ac:dyDescent="0.25">
      <c r="A108" s="88">
        <v>42395</v>
      </c>
      <c r="B108" s="74" t="s">
        <v>12</v>
      </c>
      <c r="C108" s="73" t="s">
        <v>264</v>
      </c>
      <c r="D108" s="73" t="s">
        <v>106</v>
      </c>
      <c r="E108" s="73" t="s">
        <v>101</v>
      </c>
      <c r="F108" s="90" t="s">
        <v>265</v>
      </c>
      <c r="G108" s="90"/>
      <c r="H108" s="90"/>
      <c r="I108" s="90"/>
      <c r="J108" s="41" t="s">
        <v>103</v>
      </c>
      <c r="K108" s="85" t="s">
        <v>104</v>
      </c>
      <c r="L108" s="95"/>
      <c r="M108" s="95"/>
      <c r="N108" s="25"/>
      <c r="O108" s="26"/>
      <c r="P108" s="26"/>
      <c r="Q108" s="26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25"/>
      <c r="AO108" s="33"/>
      <c r="AP108" s="25"/>
      <c r="AQ108" s="33"/>
      <c r="AR108" s="31"/>
      <c r="AS108" s="33"/>
      <c r="AT108" s="25"/>
      <c r="AU108" s="75"/>
      <c r="AV108" s="95"/>
      <c r="AW108" s="41"/>
      <c r="AX108" s="95"/>
      <c r="AY108" s="95"/>
      <c r="AZ108" s="95"/>
      <c r="BA108" s="95"/>
      <c r="BB108" s="95"/>
      <c r="BC108" s="95"/>
      <c r="BD108" s="95"/>
      <c r="BE108" s="31"/>
      <c r="BF108" s="95"/>
      <c r="BG108" s="95"/>
      <c r="BH108" s="95"/>
      <c r="BI108" s="95"/>
      <c r="BJ108" s="75">
        <v>49525</v>
      </c>
      <c r="BK108" s="76">
        <v>28.77</v>
      </c>
      <c r="BL108" s="45" t="s">
        <v>266</v>
      </c>
      <c r="BM108" s="45" t="s">
        <v>267</v>
      </c>
      <c r="BN108" s="104">
        <v>7.76</v>
      </c>
      <c r="BO108" s="104">
        <v>7.56</v>
      </c>
      <c r="BP108" s="104">
        <v>1.18</v>
      </c>
      <c r="BQ108" s="36"/>
      <c r="BR108" s="36"/>
      <c r="BS108" s="77">
        <v>0.3</v>
      </c>
      <c r="BT108" s="92">
        <f>8.063+0.036</f>
        <v>8.0990000000000002</v>
      </c>
      <c r="BU108" s="92">
        <f>1.375+0.036</f>
        <v>1.411</v>
      </c>
      <c r="BV108" s="92">
        <f>9.063+0.072</f>
        <v>9.1349999999999998</v>
      </c>
      <c r="BW108" s="92">
        <f t="shared" si="26"/>
        <v>6.0412001744791673E-2</v>
      </c>
      <c r="BX108" s="78">
        <v>0.12</v>
      </c>
      <c r="BY108" s="94">
        <v>11</v>
      </c>
      <c r="BZ108" s="94">
        <v>9</v>
      </c>
      <c r="CA108" s="94">
        <v>9.25</v>
      </c>
      <c r="CB108" s="92">
        <f t="shared" si="27"/>
        <v>0.52994791666666663</v>
      </c>
      <c r="CC108" s="121">
        <v>0.51</v>
      </c>
      <c r="CD108" s="121"/>
      <c r="CE108" s="121"/>
      <c r="CF108" s="105" t="s">
        <v>135</v>
      </c>
      <c r="CG108" s="27">
        <v>6</v>
      </c>
      <c r="CH108" s="27">
        <v>18</v>
      </c>
      <c r="CI108" s="27">
        <v>4</v>
      </c>
      <c r="CJ108" s="27">
        <f t="shared" si="25"/>
        <v>432</v>
      </c>
      <c r="CK108" s="27">
        <f t="shared" si="28"/>
        <v>268.16000000000003</v>
      </c>
      <c r="CL108" s="27" t="s">
        <v>140</v>
      </c>
      <c r="CM108" s="89" t="s">
        <v>141</v>
      </c>
      <c r="CN108" s="71"/>
      <c r="CO108" s="71"/>
    </row>
    <row r="109" spans="1:93" s="1" customFormat="1" x14ac:dyDescent="0.25">
      <c r="A109" s="88">
        <v>42395</v>
      </c>
      <c r="B109" s="73" t="s">
        <v>12</v>
      </c>
      <c r="C109" s="73" t="s">
        <v>268</v>
      </c>
      <c r="D109" s="73" t="s">
        <v>106</v>
      </c>
      <c r="E109" s="73" t="s">
        <v>101</v>
      </c>
      <c r="F109" s="84" t="s">
        <v>269</v>
      </c>
      <c r="G109" s="84"/>
      <c r="H109" s="84"/>
      <c r="I109" s="84"/>
      <c r="J109" s="41" t="s">
        <v>270</v>
      </c>
      <c r="K109" s="85" t="s">
        <v>271</v>
      </c>
      <c r="L109" s="95"/>
      <c r="M109" s="95"/>
      <c r="N109" s="25"/>
      <c r="O109" s="26"/>
      <c r="P109" s="26"/>
      <c r="Q109" s="26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25"/>
      <c r="AO109" s="33"/>
      <c r="AP109" s="25"/>
      <c r="AQ109" s="33"/>
      <c r="AR109" s="31"/>
      <c r="AS109" s="33"/>
      <c r="AT109" s="25"/>
      <c r="AU109" s="75" t="s">
        <v>272</v>
      </c>
      <c r="AV109" s="95"/>
      <c r="AW109" s="41"/>
      <c r="AX109" s="95"/>
      <c r="AY109" s="95"/>
      <c r="AZ109" s="95"/>
      <c r="BA109" s="95"/>
      <c r="BB109" s="95"/>
      <c r="BC109" s="95"/>
      <c r="BD109" s="95"/>
      <c r="BE109" s="31"/>
      <c r="BF109" s="95"/>
      <c r="BG109" s="95" t="s">
        <v>273</v>
      </c>
      <c r="BH109" s="95"/>
      <c r="BI109" s="95" t="s">
        <v>274</v>
      </c>
      <c r="BJ109" s="75">
        <v>24270</v>
      </c>
      <c r="BK109" s="76">
        <v>18.77</v>
      </c>
      <c r="BL109" s="45" t="s">
        <v>275</v>
      </c>
      <c r="BM109" s="45" t="s">
        <v>276</v>
      </c>
      <c r="BN109" s="104">
        <v>9.7799999999999994</v>
      </c>
      <c r="BO109" s="104">
        <v>6.75</v>
      </c>
      <c r="BP109" s="104">
        <v>0.77</v>
      </c>
      <c r="BQ109" s="36"/>
      <c r="BR109" s="36"/>
      <c r="BS109" s="77">
        <v>0.35</v>
      </c>
      <c r="BT109" s="92">
        <f>6.75+0.036</f>
        <v>6.7859999999999996</v>
      </c>
      <c r="BU109" s="92">
        <f>1.75+0.036</f>
        <v>1.786</v>
      </c>
      <c r="BV109" s="92">
        <v>10.071999999999999</v>
      </c>
      <c r="BW109" s="92">
        <f t="shared" si="26"/>
        <v>7.0642699833333322E-2</v>
      </c>
      <c r="BX109" s="78">
        <v>0.13</v>
      </c>
      <c r="BY109" s="94">
        <v>11.75</v>
      </c>
      <c r="BZ109" s="94">
        <v>10.5</v>
      </c>
      <c r="CA109" s="94">
        <f>6.875+0.5</f>
        <v>7.375</v>
      </c>
      <c r="CB109" s="92">
        <f t="shared" si="27"/>
        <v>0.52655707465277779</v>
      </c>
      <c r="CC109" s="121">
        <v>0.56000000000000005</v>
      </c>
      <c r="CD109" s="121"/>
      <c r="CE109" s="121"/>
      <c r="CF109" s="105" t="s">
        <v>135</v>
      </c>
      <c r="CG109" s="72">
        <v>6</v>
      </c>
      <c r="CH109" s="72">
        <v>12</v>
      </c>
      <c r="CI109" s="72">
        <v>6</v>
      </c>
      <c r="CJ109" s="27">
        <f t="shared" si="25"/>
        <v>432</v>
      </c>
      <c r="CK109" s="27">
        <f t="shared" si="28"/>
        <v>297.68</v>
      </c>
      <c r="CL109" s="27" t="s">
        <v>140</v>
      </c>
      <c r="CM109" s="89" t="s">
        <v>141</v>
      </c>
      <c r="CN109" s="71"/>
      <c r="CO109" s="71"/>
    </row>
    <row r="110" spans="1:93" s="1" customFormat="1" x14ac:dyDescent="0.25">
      <c r="A110" s="88">
        <v>42395</v>
      </c>
      <c r="B110" s="73" t="s">
        <v>12</v>
      </c>
      <c r="C110" s="73" t="s">
        <v>277</v>
      </c>
      <c r="D110" s="73" t="s">
        <v>106</v>
      </c>
      <c r="E110" s="73" t="s">
        <v>101</v>
      </c>
      <c r="F110" s="84" t="s">
        <v>278</v>
      </c>
      <c r="G110" s="84"/>
      <c r="H110" s="84"/>
      <c r="I110" s="84"/>
      <c r="J110" s="41" t="s">
        <v>279</v>
      </c>
      <c r="K110" s="85" t="s">
        <v>280</v>
      </c>
      <c r="L110" s="95"/>
      <c r="M110" s="95"/>
      <c r="N110" s="25"/>
      <c r="O110" s="26"/>
      <c r="P110" s="26"/>
      <c r="Q110" s="26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25"/>
      <c r="AO110" s="33"/>
      <c r="AP110" s="25"/>
      <c r="AQ110" s="33"/>
      <c r="AR110" s="31"/>
      <c r="AS110" s="33"/>
      <c r="AT110" s="25"/>
      <c r="AU110" s="75"/>
      <c r="AV110" s="95"/>
      <c r="AW110" s="41"/>
      <c r="AX110" s="95"/>
      <c r="AY110" s="95"/>
      <c r="AZ110" s="95"/>
      <c r="BA110" s="95"/>
      <c r="BB110" s="95"/>
      <c r="BC110" s="95"/>
      <c r="BD110" s="95"/>
      <c r="BE110" s="31" t="s">
        <v>281</v>
      </c>
      <c r="BF110" s="95"/>
      <c r="BG110" s="95"/>
      <c r="BH110" s="95"/>
      <c r="BI110" s="95"/>
      <c r="BJ110" s="75">
        <v>49361</v>
      </c>
      <c r="BK110" s="76">
        <v>82.48</v>
      </c>
      <c r="BL110" s="103" t="s">
        <v>282</v>
      </c>
      <c r="BM110" s="103" t="s">
        <v>283</v>
      </c>
      <c r="BN110" s="104">
        <v>15.94</v>
      </c>
      <c r="BO110" s="104">
        <v>8.35</v>
      </c>
      <c r="BP110" s="104">
        <v>2.2799999999999998</v>
      </c>
      <c r="BQ110" s="36"/>
      <c r="BR110" s="36"/>
      <c r="BS110" s="77">
        <v>1.19</v>
      </c>
      <c r="BT110" s="92">
        <f>9.75+0.036</f>
        <v>9.7859999999999996</v>
      </c>
      <c r="BU110" s="92">
        <f>3.75+0.036</f>
        <v>3.786</v>
      </c>
      <c r="BV110" s="92">
        <f>20.072</f>
        <v>20.071999999999999</v>
      </c>
      <c r="BW110" s="92">
        <f t="shared" si="26"/>
        <v>0.43036082483333332</v>
      </c>
      <c r="BX110" s="78">
        <v>0.4</v>
      </c>
      <c r="BY110" s="94">
        <v>23.5</v>
      </c>
      <c r="BZ110" s="94">
        <v>10.5</v>
      </c>
      <c r="CA110" s="94">
        <v>20.62</v>
      </c>
      <c r="CB110" s="92">
        <f t="shared" si="27"/>
        <v>2.9444357638888894</v>
      </c>
      <c r="CC110" s="121">
        <v>1.52</v>
      </c>
      <c r="CD110" s="121"/>
      <c r="CE110" s="121"/>
      <c r="CF110" s="105" t="s">
        <v>135</v>
      </c>
      <c r="CG110" s="72">
        <v>6</v>
      </c>
      <c r="CH110" s="72">
        <v>6</v>
      </c>
      <c r="CI110" s="72">
        <v>2</v>
      </c>
      <c r="CJ110" s="27">
        <f t="shared" si="25"/>
        <v>72</v>
      </c>
      <c r="CK110" s="27">
        <f t="shared" si="28"/>
        <v>182.71999999999997</v>
      </c>
      <c r="CL110" s="27" t="s">
        <v>140</v>
      </c>
      <c r="CM110" s="89" t="s">
        <v>141</v>
      </c>
      <c r="CN110" s="71"/>
      <c r="CO110" s="71"/>
    </row>
    <row r="111" spans="1:93" s="1" customFormat="1" ht="15" customHeight="1" x14ac:dyDescent="0.25">
      <c r="A111" s="88">
        <v>42395</v>
      </c>
      <c r="B111" s="74" t="s">
        <v>12</v>
      </c>
      <c r="C111" s="73" t="s">
        <v>284</v>
      </c>
      <c r="D111" s="73" t="s">
        <v>106</v>
      </c>
      <c r="E111" s="73" t="s">
        <v>101</v>
      </c>
      <c r="F111" s="84" t="s">
        <v>285</v>
      </c>
      <c r="G111" s="84"/>
      <c r="H111" s="84"/>
      <c r="I111" s="84"/>
      <c r="J111" s="41" t="s">
        <v>270</v>
      </c>
      <c r="K111" s="85" t="s">
        <v>286</v>
      </c>
      <c r="L111" s="95"/>
      <c r="M111" s="95"/>
      <c r="N111" s="25"/>
      <c r="O111" s="26"/>
      <c r="P111" s="26"/>
      <c r="Q111" s="26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25"/>
      <c r="AO111" s="33"/>
      <c r="AP111" s="25"/>
      <c r="AQ111" s="33"/>
      <c r="AR111" s="31"/>
      <c r="AS111" s="33"/>
      <c r="AT111" s="25"/>
      <c r="AU111" s="75" t="s">
        <v>287</v>
      </c>
      <c r="AV111" s="95"/>
      <c r="AW111" s="41"/>
      <c r="AX111" s="95"/>
      <c r="AY111" s="95"/>
      <c r="AZ111" s="95"/>
      <c r="BA111" s="95"/>
      <c r="BB111" s="95" t="s">
        <v>284</v>
      </c>
      <c r="BC111" s="95"/>
      <c r="BD111" s="95"/>
      <c r="BE111" s="31" t="s">
        <v>288</v>
      </c>
      <c r="BF111" s="95" t="s">
        <v>284</v>
      </c>
      <c r="BG111" s="95" t="s">
        <v>288</v>
      </c>
      <c r="BH111" s="95"/>
      <c r="BI111" s="95" t="s">
        <v>289</v>
      </c>
      <c r="BJ111" s="75">
        <v>24015</v>
      </c>
      <c r="BK111" s="76">
        <v>21.48</v>
      </c>
      <c r="BL111" s="45" t="s">
        <v>290</v>
      </c>
      <c r="BM111" s="45" t="s">
        <v>291</v>
      </c>
      <c r="BN111" s="104">
        <v>8.94</v>
      </c>
      <c r="BO111" s="104">
        <v>10.31</v>
      </c>
      <c r="BP111" s="104">
        <v>1.34</v>
      </c>
      <c r="BQ111" s="36"/>
      <c r="BR111" s="36"/>
      <c r="BS111" s="77">
        <v>0.21</v>
      </c>
      <c r="BT111" s="74">
        <v>9.0359999999999996</v>
      </c>
      <c r="BU111" s="74">
        <v>2.036</v>
      </c>
      <c r="BV111" s="74">
        <v>11.571999999999999</v>
      </c>
      <c r="BW111" s="92">
        <f t="shared" si="26"/>
        <v>0.12320226233333333</v>
      </c>
      <c r="BX111" s="78">
        <v>0.21</v>
      </c>
      <c r="BY111" s="122">
        <v>13</v>
      </c>
      <c r="BZ111" s="123">
        <v>9.75</v>
      </c>
      <c r="CA111" s="123">
        <f>11.62+0.5</f>
        <v>12.12</v>
      </c>
      <c r="CB111" s="124">
        <f t="shared" si="27"/>
        <v>0.88901041666666658</v>
      </c>
      <c r="CC111" s="125">
        <v>0.81</v>
      </c>
      <c r="CD111" s="125"/>
      <c r="CE111" s="125"/>
      <c r="CF111" s="105" t="s">
        <v>135</v>
      </c>
      <c r="CG111" s="72">
        <v>6</v>
      </c>
      <c r="CH111" s="72">
        <v>14</v>
      </c>
      <c r="CI111" s="72">
        <v>3</v>
      </c>
      <c r="CJ111" s="27">
        <f t="shared" si="25"/>
        <v>252</v>
      </c>
      <c r="CK111" s="27">
        <f t="shared" si="28"/>
        <v>189.86</v>
      </c>
      <c r="CL111" s="72" t="s">
        <v>140</v>
      </c>
      <c r="CM111" s="89" t="s">
        <v>141</v>
      </c>
      <c r="CN111" s="71"/>
      <c r="CO111" s="71"/>
    </row>
    <row r="112" spans="1:93" s="1" customFormat="1" x14ac:dyDescent="0.25">
      <c r="A112" s="88">
        <v>42395</v>
      </c>
      <c r="B112" s="74" t="s">
        <v>12</v>
      </c>
      <c r="C112" s="72" t="s">
        <v>292</v>
      </c>
      <c r="D112" s="73" t="s">
        <v>106</v>
      </c>
      <c r="E112" s="73" t="s">
        <v>101</v>
      </c>
      <c r="F112" s="84" t="s">
        <v>293</v>
      </c>
      <c r="G112" s="84"/>
      <c r="H112" s="84"/>
      <c r="I112" s="84"/>
      <c r="J112" s="41" t="s">
        <v>294</v>
      </c>
      <c r="K112" s="85" t="s">
        <v>295</v>
      </c>
      <c r="L112" s="95"/>
      <c r="M112" s="95"/>
      <c r="N112" s="25"/>
      <c r="O112" s="26"/>
      <c r="P112" s="26"/>
      <c r="Q112" s="26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25" t="s">
        <v>296</v>
      </c>
      <c r="AO112" s="33"/>
      <c r="AP112" s="25"/>
      <c r="AQ112" s="33"/>
      <c r="AR112" s="31"/>
      <c r="AS112" s="33"/>
      <c r="AT112" s="25"/>
      <c r="AU112" s="75"/>
      <c r="AV112" s="95"/>
      <c r="AW112" s="41"/>
      <c r="AX112" s="95"/>
      <c r="AY112" s="95"/>
      <c r="AZ112" s="95"/>
      <c r="BA112" s="95"/>
      <c r="BB112" s="95"/>
      <c r="BC112" s="95"/>
      <c r="BD112" s="95"/>
      <c r="BE112" s="31" t="s">
        <v>297</v>
      </c>
      <c r="BF112" s="95"/>
      <c r="BG112" s="95"/>
      <c r="BH112" s="95"/>
      <c r="BI112" s="95"/>
      <c r="BJ112" s="75">
        <v>24487</v>
      </c>
      <c r="BK112" s="76">
        <v>25.67</v>
      </c>
      <c r="BL112" s="103" t="s">
        <v>298</v>
      </c>
      <c r="BM112" s="45" t="s">
        <v>299</v>
      </c>
      <c r="BN112" s="104">
        <v>5.05</v>
      </c>
      <c r="BO112" s="104">
        <v>8.83</v>
      </c>
      <c r="BP112" s="104">
        <v>0.86599999999999999</v>
      </c>
      <c r="BQ112" s="36"/>
      <c r="BR112" s="36"/>
      <c r="BS112" s="81">
        <f>0.29*2</f>
        <v>0.57999999999999996</v>
      </c>
      <c r="BT112" s="117">
        <f>5.59+0.036</f>
        <v>5.6259999999999994</v>
      </c>
      <c r="BU112" s="117">
        <v>2.036</v>
      </c>
      <c r="BV112" s="117">
        <f>9.62+0.036+0.036</f>
        <v>9.6919999999999984</v>
      </c>
      <c r="BW112" s="92">
        <f t="shared" si="26"/>
        <v>6.424615909259257E-2</v>
      </c>
      <c r="BX112" s="81">
        <v>0.09</v>
      </c>
      <c r="BY112" s="117">
        <v>13.25</v>
      </c>
      <c r="BZ112" s="117">
        <v>10</v>
      </c>
      <c r="CA112" s="117">
        <v>6.25</v>
      </c>
      <c r="CB112" s="92">
        <f t="shared" si="27"/>
        <v>0.47923900462962965</v>
      </c>
      <c r="CC112" s="121">
        <v>0.59</v>
      </c>
      <c r="CD112" s="121"/>
      <c r="CE112" s="121"/>
      <c r="CF112" s="72" t="s">
        <v>135</v>
      </c>
      <c r="CG112" s="72">
        <v>6</v>
      </c>
      <c r="CH112" s="72">
        <v>14</v>
      </c>
      <c r="CI112" s="72">
        <v>7</v>
      </c>
      <c r="CJ112" s="27">
        <f t="shared" si="25"/>
        <v>588</v>
      </c>
      <c r="CK112" s="27">
        <f t="shared" si="28"/>
        <v>501.78</v>
      </c>
      <c r="CL112" s="27" t="s">
        <v>140</v>
      </c>
      <c r="CM112" s="89" t="s">
        <v>141</v>
      </c>
      <c r="CN112" s="71"/>
      <c r="CO112" s="71"/>
    </row>
    <row r="113" spans="1:95" s="1" customFormat="1" x14ac:dyDescent="0.25">
      <c r="A113" s="88">
        <v>42395</v>
      </c>
      <c r="B113" s="73" t="s">
        <v>12</v>
      </c>
      <c r="C113" s="73" t="s">
        <v>300</v>
      </c>
      <c r="D113" s="73" t="s">
        <v>106</v>
      </c>
      <c r="E113" s="73" t="s">
        <v>301</v>
      </c>
      <c r="F113" s="126" t="s">
        <v>302</v>
      </c>
      <c r="G113" s="126"/>
      <c r="H113" s="126"/>
      <c r="I113" s="126"/>
      <c r="J113" s="127" t="s">
        <v>109</v>
      </c>
      <c r="K113" s="128" t="s">
        <v>303</v>
      </c>
      <c r="L113" s="95"/>
      <c r="M113" s="95"/>
      <c r="N113" s="25"/>
      <c r="O113" s="26"/>
      <c r="P113" s="26"/>
      <c r="Q113" s="26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25"/>
      <c r="AO113" s="33"/>
      <c r="AP113" s="25"/>
      <c r="AQ113" s="33"/>
      <c r="AR113" s="31"/>
      <c r="AS113" s="33"/>
      <c r="AT113" s="25"/>
      <c r="AU113" s="75" t="s">
        <v>304</v>
      </c>
      <c r="AV113" s="95"/>
      <c r="AW113" s="41"/>
      <c r="AX113" s="95"/>
      <c r="AY113" s="95"/>
      <c r="AZ113" s="95"/>
      <c r="BA113" s="95"/>
      <c r="BB113" s="95"/>
      <c r="BC113" s="95"/>
      <c r="BD113" s="95"/>
      <c r="BE113" s="31" t="s">
        <v>305</v>
      </c>
      <c r="BF113" s="95"/>
      <c r="BG113" s="95" t="s">
        <v>306</v>
      </c>
      <c r="BH113" s="95"/>
      <c r="BI113" s="95" t="s">
        <v>307</v>
      </c>
      <c r="BJ113" s="75">
        <v>49830</v>
      </c>
      <c r="BK113" s="129">
        <v>22.5</v>
      </c>
      <c r="BL113" s="103" t="s">
        <v>308</v>
      </c>
      <c r="BM113" s="103" t="s">
        <v>309</v>
      </c>
      <c r="BN113" s="104">
        <v>12.32</v>
      </c>
      <c r="BO113" s="104">
        <v>10.98</v>
      </c>
      <c r="BP113" s="104">
        <v>1.67</v>
      </c>
      <c r="BQ113" s="36"/>
      <c r="BR113" s="36"/>
      <c r="BS113" s="77">
        <v>0.72</v>
      </c>
      <c r="BT113" s="130">
        <f>13.31+0.036</f>
        <v>13.346</v>
      </c>
      <c r="BU113" s="92">
        <f>2.87+0.036</f>
        <v>2.9060000000000001</v>
      </c>
      <c r="BV113" s="92">
        <f>13.31+0.072</f>
        <v>13.382</v>
      </c>
      <c r="BW113" s="92">
        <f t="shared" si="26"/>
        <v>0.30034749758796297</v>
      </c>
      <c r="BX113" s="78">
        <v>0.36</v>
      </c>
      <c r="BY113" s="94">
        <v>14.5</v>
      </c>
      <c r="BZ113" s="94">
        <v>14.25</v>
      </c>
      <c r="CA113" s="94">
        <v>9.5</v>
      </c>
      <c r="CB113" s="92">
        <f t="shared" si="27"/>
        <v>1.1359592013888888</v>
      </c>
      <c r="CC113" s="121">
        <v>0.99</v>
      </c>
      <c r="CD113" s="121"/>
      <c r="CE113" s="121"/>
      <c r="CF113" s="105" t="s">
        <v>135</v>
      </c>
      <c r="CG113" s="72">
        <v>3</v>
      </c>
      <c r="CH113" s="72">
        <v>6</v>
      </c>
      <c r="CI113" s="72">
        <v>4</v>
      </c>
      <c r="CJ113" s="27">
        <f t="shared" si="25"/>
        <v>72</v>
      </c>
      <c r="CK113" s="27">
        <f t="shared" si="28"/>
        <v>151.52000000000001</v>
      </c>
      <c r="CL113" s="72" t="s">
        <v>136</v>
      </c>
      <c r="CM113" s="79" t="s">
        <v>137</v>
      </c>
      <c r="CN113" s="71"/>
      <c r="CO113" s="71"/>
    </row>
    <row r="114" spans="1:95" s="1" customFormat="1" x14ac:dyDescent="0.25">
      <c r="A114" s="88">
        <v>42395</v>
      </c>
      <c r="B114" s="73" t="s">
        <v>12</v>
      </c>
      <c r="C114" s="72" t="s">
        <v>310</v>
      </c>
      <c r="D114" s="73" t="s">
        <v>106</v>
      </c>
      <c r="E114" s="131" t="s">
        <v>311</v>
      </c>
      <c r="F114" s="84" t="s">
        <v>312</v>
      </c>
      <c r="G114" s="84"/>
      <c r="H114" s="84"/>
      <c r="I114" s="84"/>
      <c r="J114" s="75" t="s">
        <v>279</v>
      </c>
      <c r="K114" s="85" t="s">
        <v>313</v>
      </c>
      <c r="L114" s="132"/>
      <c r="M114" s="95"/>
      <c r="N114" s="25"/>
      <c r="O114" s="26"/>
      <c r="P114" s="26"/>
      <c r="Q114" s="26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25"/>
      <c r="AO114" s="33"/>
      <c r="AP114" s="25"/>
      <c r="AQ114" s="33"/>
      <c r="AR114" s="31"/>
      <c r="AS114" s="33"/>
      <c r="AT114" s="25" t="s">
        <v>314</v>
      </c>
      <c r="AU114" s="75"/>
      <c r="AV114" s="95"/>
      <c r="AW114" s="41"/>
      <c r="AX114" s="95"/>
      <c r="AY114" s="95"/>
      <c r="AZ114" s="95"/>
      <c r="BA114" s="95"/>
      <c r="BB114" s="95"/>
      <c r="BC114" s="75"/>
      <c r="BD114" s="95"/>
      <c r="BE114" s="24"/>
      <c r="BF114" s="95"/>
      <c r="BG114" s="95"/>
      <c r="BH114" s="95"/>
      <c r="BI114" s="95"/>
      <c r="BJ114" s="133">
        <v>57161</v>
      </c>
      <c r="BK114" s="76">
        <v>25.72</v>
      </c>
      <c r="BL114" s="45" t="s">
        <v>315</v>
      </c>
      <c r="BM114" s="45" t="s">
        <v>316</v>
      </c>
      <c r="BN114" s="36"/>
      <c r="BO114" s="36"/>
      <c r="BP114" s="36"/>
      <c r="BQ114" s="134">
        <v>2.98</v>
      </c>
      <c r="BR114" s="134">
        <v>7.87</v>
      </c>
      <c r="BS114" s="80">
        <f>0.28</f>
        <v>0.28000000000000003</v>
      </c>
      <c r="BT114" s="135">
        <f>3.81+0.036</f>
        <v>3.8460000000000001</v>
      </c>
      <c r="BU114" s="117">
        <f>3.81+0.036</f>
        <v>3.8460000000000001</v>
      </c>
      <c r="BV114" s="117">
        <f>8+(4*0.018)</f>
        <v>8.0719999999999992</v>
      </c>
      <c r="BW114" s="92">
        <f t="shared" si="26"/>
        <v>6.9096488166666664E-2</v>
      </c>
      <c r="BX114" s="81">
        <f>0.09</f>
        <v>0.09</v>
      </c>
      <c r="BY114" s="117">
        <f>15.56+0.25</f>
        <v>15.81</v>
      </c>
      <c r="BZ114" s="117">
        <f>11.68+0.25</f>
        <v>11.93</v>
      </c>
      <c r="CA114" s="117">
        <v>8.6199999999999992</v>
      </c>
      <c r="CB114" s="92">
        <f t="shared" si="27"/>
        <v>0.94088347569444442</v>
      </c>
      <c r="CC114" s="121">
        <v>0.87</v>
      </c>
      <c r="CD114" s="121"/>
      <c r="CE114" s="121"/>
      <c r="CF114" s="72" t="s">
        <v>135</v>
      </c>
      <c r="CG114" s="72">
        <v>12</v>
      </c>
      <c r="CH114" s="72">
        <v>10</v>
      </c>
      <c r="CI114" s="72">
        <v>5</v>
      </c>
      <c r="CJ114" s="27">
        <f t="shared" si="25"/>
        <v>600</v>
      </c>
      <c r="CK114" s="27">
        <f t="shared" si="28"/>
        <v>315.5</v>
      </c>
      <c r="CL114" s="27" t="s">
        <v>317</v>
      </c>
      <c r="CM114" s="27" t="s">
        <v>151</v>
      </c>
      <c r="CN114" s="71"/>
      <c r="CO114" s="71"/>
    </row>
    <row r="115" spans="1:95" s="1" customFormat="1" x14ac:dyDescent="0.25">
      <c r="A115" s="88">
        <v>42395</v>
      </c>
      <c r="B115" s="73" t="s">
        <v>12</v>
      </c>
      <c r="C115" s="73" t="s">
        <v>318</v>
      </c>
      <c r="D115" s="73" t="s">
        <v>106</v>
      </c>
      <c r="E115" s="73" t="s">
        <v>311</v>
      </c>
      <c r="F115" s="136" t="s">
        <v>319</v>
      </c>
      <c r="G115" s="136"/>
      <c r="H115" s="136"/>
      <c r="I115" s="136"/>
      <c r="J115" s="137" t="s">
        <v>130</v>
      </c>
      <c r="K115" s="138">
        <v>6511800309</v>
      </c>
      <c r="L115" s="95"/>
      <c r="M115" s="95"/>
      <c r="N115" s="25"/>
      <c r="O115" s="26"/>
      <c r="P115" s="26"/>
      <c r="Q115" s="26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25"/>
      <c r="AO115" s="33"/>
      <c r="AP115" s="25"/>
      <c r="AQ115" s="33"/>
      <c r="AR115" s="31"/>
      <c r="AS115" s="33"/>
      <c r="AT115" s="25"/>
      <c r="AU115" s="75"/>
      <c r="AV115" s="95"/>
      <c r="AW115" s="41"/>
      <c r="AX115" s="95"/>
      <c r="AY115" s="95"/>
      <c r="AZ115" s="95"/>
      <c r="BA115" s="95"/>
      <c r="BB115" s="95"/>
      <c r="BC115" s="75"/>
      <c r="BD115" s="95"/>
      <c r="BE115" s="24"/>
      <c r="BF115" s="95"/>
      <c r="BG115" s="95"/>
      <c r="BH115" s="95"/>
      <c r="BI115" s="95"/>
      <c r="BJ115" s="75"/>
      <c r="BK115" s="139">
        <v>15.33</v>
      </c>
      <c r="BL115" s="45" t="s">
        <v>320</v>
      </c>
      <c r="BM115" s="45" t="s">
        <v>321</v>
      </c>
      <c r="BN115" s="36"/>
      <c r="BO115" s="36"/>
      <c r="BP115" s="36"/>
      <c r="BQ115" s="134">
        <v>2.56</v>
      </c>
      <c r="BR115" s="134">
        <v>4.3499999999999996</v>
      </c>
      <c r="BS115" s="77">
        <f>0.18</f>
        <v>0.18</v>
      </c>
      <c r="BT115" s="140">
        <f>2.755+0.018+0.018</f>
        <v>2.7909999999999995</v>
      </c>
      <c r="BU115" s="74">
        <f>2.755+0.018+0.018</f>
        <v>2.7909999999999995</v>
      </c>
      <c r="BV115" s="74">
        <f>4.842+(0.018*4)</f>
        <v>4.9139999999999997</v>
      </c>
      <c r="BW115" s="92">
        <f t="shared" si="26"/>
        <v>2.2151905343749986E-2</v>
      </c>
      <c r="BX115" s="78">
        <f>0.1</f>
        <v>0.1</v>
      </c>
      <c r="BY115" s="141">
        <f>11.42+0.25</f>
        <v>11.67</v>
      </c>
      <c r="BZ115" s="141">
        <f>8.66+0.25</f>
        <v>8.91</v>
      </c>
      <c r="CA115" s="141">
        <f>5.43+0.5</f>
        <v>5.93</v>
      </c>
      <c r="CB115" s="92">
        <f t="shared" si="27"/>
        <v>0.35682848437499998</v>
      </c>
      <c r="CC115" s="120">
        <v>0.25</v>
      </c>
      <c r="CD115" s="120"/>
      <c r="CE115" s="120"/>
      <c r="CF115" s="105" t="s">
        <v>135</v>
      </c>
      <c r="CG115" s="72">
        <v>12</v>
      </c>
      <c r="CH115" s="72">
        <v>17</v>
      </c>
      <c r="CI115" s="72">
        <v>7</v>
      </c>
      <c r="CJ115" s="27">
        <f t="shared" si="25"/>
        <v>1428</v>
      </c>
      <c r="CK115" s="27">
        <f t="shared" si="28"/>
        <v>479.59000000000003</v>
      </c>
      <c r="CL115" s="27" t="s">
        <v>322</v>
      </c>
      <c r="CM115" s="27" t="s">
        <v>151</v>
      </c>
      <c r="CN115" s="71"/>
      <c r="CO115" s="71"/>
    </row>
    <row r="116" spans="1:95" s="1" customFormat="1" x14ac:dyDescent="0.25">
      <c r="A116" s="88">
        <v>42395</v>
      </c>
      <c r="B116" s="73" t="s">
        <v>12</v>
      </c>
      <c r="C116" s="73" t="s">
        <v>323</v>
      </c>
      <c r="D116" s="73" t="s">
        <v>106</v>
      </c>
      <c r="E116" s="131" t="s">
        <v>311</v>
      </c>
      <c r="F116" s="24" t="s">
        <v>324</v>
      </c>
      <c r="G116" s="24"/>
      <c r="H116" s="24"/>
      <c r="I116" s="24"/>
      <c r="J116" s="75" t="s">
        <v>108</v>
      </c>
      <c r="K116" s="142">
        <v>55577033</v>
      </c>
      <c r="L116" s="132"/>
      <c r="M116" s="95"/>
      <c r="N116" s="25"/>
      <c r="O116" s="26"/>
      <c r="P116" s="26"/>
      <c r="Q116" s="26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25"/>
      <c r="AO116" s="33"/>
      <c r="AP116" s="25"/>
      <c r="AQ116" s="33"/>
      <c r="AR116" s="31"/>
      <c r="AS116" s="33"/>
      <c r="AT116" s="25"/>
      <c r="AU116" s="75"/>
      <c r="AV116" s="95"/>
      <c r="AW116" s="41"/>
      <c r="AX116" s="95"/>
      <c r="AY116" s="95"/>
      <c r="AZ116" s="95"/>
      <c r="BA116" s="95"/>
      <c r="BB116" s="95"/>
      <c r="BC116" s="75"/>
      <c r="BD116" s="95"/>
      <c r="BE116" s="24"/>
      <c r="BF116" s="95"/>
      <c r="BG116" s="95"/>
      <c r="BH116" s="95"/>
      <c r="BI116" s="95"/>
      <c r="BJ116" s="133"/>
      <c r="BK116" s="76">
        <v>10.27</v>
      </c>
      <c r="BL116" s="45" t="s">
        <v>325</v>
      </c>
      <c r="BM116" s="45" t="s">
        <v>326</v>
      </c>
      <c r="BN116" s="36"/>
      <c r="BO116" s="36"/>
      <c r="BP116" s="36"/>
      <c r="BQ116" s="134">
        <v>2.5870000000000002</v>
      </c>
      <c r="BR116" s="134">
        <v>4.1340000000000003</v>
      </c>
      <c r="BS116" s="77">
        <f>0.13</f>
        <v>0.13</v>
      </c>
      <c r="BT116" s="140">
        <f>2.755+0.018+0.018</f>
        <v>2.7909999999999995</v>
      </c>
      <c r="BU116" s="74">
        <f>2.755+0.018+0.018</f>
        <v>2.7909999999999995</v>
      </c>
      <c r="BV116" s="74">
        <f>4.33+(0.018*4)</f>
        <v>4.4020000000000001</v>
      </c>
      <c r="BW116" s="92">
        <f t="shared" si="26"/>
        <v>1.9843851714120366E-2</v>
      </c>
      <c r="BX116" s="78">
        <f>0.1</f>
        <v>0.1</v>
      </c>
      <c r="BY116" s="141">
        <f>11.417+0.25</f>
        <v>11.667</v>
      </c>
      <c r="BZ116" s="141">
        <f>8.582+0.25</f>
        <v>8.8320000000000007</v>
      </c>
      <c r="CA116" s="141">
        <f>4.803+0.5</f>
        <v>5.3029999999999999</v>
      </c>
      <c r="CB116" s="92">
        <f t="shared" si="27"/>
        <v>0.31622496066666667</v>
      </c>
      <c r="CC116" s="121">
        <v>0.25</v>
      </c>
      <c r="CD116" s="121"/>
      <c r="CE116" s="121"/>
      <c r="CF116" s="105" t="s">
        <v>135</v>
      </c>
      <c r="CG116" s="72">
        <v>12</v>
      </c>
      <c r="CH116" s="72">
        <v>17</v>
      </c>
      <c r="CI116" s="72">
        <v>8</v>
      </c>
      <c r="CJ116" s="27">
        <f t="shared" si="25"/>
        <v>1632</v>
      </c>
      <c r="CK116" s="27">
        <f t="shared" si="28"/>
        <v>459.36</v>
      </c>
      <c r="CL116" s="72" t="s">
        <v>140</v>
      </c>
      <c r="CM116" s="27" t="s">
        <v>151</v>
      </c>
      <c r="CN116" s="71"/>
      <c r="CO116" s="71"/>
    </row>
    <row r="117" spans="1:95" s="1" customFormat="1" x14ac:dyDescent="0.25">
      <c r="A117" s="88">
        <v>42395</v>
      </c>
      <c r="B117" s="73" t="s">
        <v>12</v>
      </c>
      <c r="C117" s="73" t="s">
        <v>327</v>
      </c>
      <c r="D117" s="73" t="s">
        <v>106</v>
      </c>
      <c r="E117" s="73" t="s">
        <v>311</v>
      </c>
      <c r="F117" s="84" t="s">
        <v>328</v>
      </c>
      <c r="G117" s="84"/>
      <c r="H117" s="84"/>
      <c r="I117" s="84"/>
      <c r="J117" s="75" t="s">
        <v>279</v>
      </c>
      <c r="K117" s="143" t="s">
        <v>329</v>
      </c>
      <c r="L117" s="95"/>
      <c r="M117" s="95"/>
      <c r="N117" s="25"/>
      <c r="O117" s="26"/>
      <c r="P117" s="26"/>
      <c r="Q117" s="26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25"/>
      <c r="AO117" s="33"/>
      <c r="AP117" s="25"/>
      <c r="AQ117" s="33"/>
      <c r="AR117" s="31"/>
      <c r="AS117" s="33"/>
      <c r="AT117" s="25"/>
      <c r="AU117" s="75"/>
      <c r="AV117" s="95"/>
      <c r="AW117" s="41"/>
      <c r="AX117" s="95"/>
      <c r="AY117" s="95"/>
      <c r="AZ117" s="95"/>
      <c r="BA117" s="95"/>
      <c r="BB117" s="95"/>
      <c r="BC117" s="75"/>
      <c r="BD117" s="95"/>
      <c r="BE117" s="24"/>
      <c r="BF117" s="95"/>
      <c r="BG117" s="95"/>
      <c r="BH117" s="95"/>
      <c r="BI117" s="95"/>
      <c r="BJ117" s="75"/>
      <c r="BK117" s="76">
        <v>10.45</v>
      </c>
      <c r="BL117" s="45" t="s">
        <v>330</v>
      </c>
      <c r="BM117" s="45" t="s">
        <v>331</v>
      </c>
      <c r="BN117" s="36"/>
      <c r="BO117" s="36"/>
      <c r="BP117" s="36"/>
      <c r="BQ117" s="134">
        <v>2.677</v>
      </c>
      <c r="BR117" s="134">
        <v>4.6849999999999996</v>
      </c>
      <c r="BS117" s="80">
        <f>0.2</f>
        <v>0.2</v>
      </c>
      <c r="BT117" s="74">
        <f>2.755+0.036</f>
        <v>2.7909999999999999</v>
      </c>
      <c r="BU117" s="74">
        <f>2.755+0.036</f>
        <v>2.7909999999999999</v>
      </c>
      <c r="BV117" s="74">
        <f>4.724+0.072</f>
        <v>4.7960000000000003</v>
      </c>
      <c r="BW117" s="92">
        <f t="shared" si="26"/>
        <v>2.1619971108796297E-2</v>
      </c>
      <c r="BX117" s="81">
        <f>0.1</f>
        <v>0.1</v>
      </c>
      <c r="BY117" s="141">
        <f>11.417+0.25</f>
        <v>11.667</v>
      </c>
      <c r="BZ117" s="141">
        <f>8.582+0.25</f>
        <v>8.8320000000000007</v>
      </c>
      <c r="CA117" s="141">
        <f>5.196+0.5</f>
        <v>5.6959999999999997</v>
      </c>
      <c r="CB117" s="92">
        <f t="shared" si="27"/>
        <v>0.3396600746666667</v>
      </c>
      <c r="CC117" s="120">
        <f>0.25</f>
        <v>0.25</v>
      </c>
      <c r="CD117" s="120"/>
      <c r="CE117" s="120"/>
      <c r="CF117" s="105" t="s">
        <v>135</v>
      </c>
      <c r="CG117" s="27">
        <v>12</v>
      </c>
      <c r="CH117" s="27">
        <v>17</v>
      </c>
      <c r="CI117" s="27">
        <v>8</v>
      </c>
      <c r="CJ117" s="27">
        <f t="shared" si="25"/>
        <v>1632</v>
      </c>
      <c r="CK117" s="27">
        <f t="shared" si="28"/>
        <v>573.6</v>
      </c>
      <c r="CL117" s="27" t="s">
        <v>140</v>
      </c>
      <c r="CM117" s="27" t="s">
        <v>151</v>
      </c>
      <c r="CN117" s="71"/>
      <c r="CO117" s="71"/>
    </row>
    <row r="118" spans="1:95" s="1" customFormat="1" x14ac:dyDescent="0.25">
      <c r="A118" s="88">
        <v>42395</v>
      </c>
      <c r="B118" s="74" t="s">
        <v>12</v>
      </c>
      <c r="C118" s="73" t="s">
        <v>332</v>
      </c>
      <c r="D118" s="73" t="s">
        <v>106</v>
      </c>
      <c r="E118" s="131" t="s">
        <v>311</v>
      </c>
      <c r="F118" s="84" t="s">
        <v>333</v>
      </c>
      <c r="G118" s="84"/>
      <c r="H118" s="84"/>
      <c r="I118" s="84"/>
      <c r="J118" s="41" t="s">
        <v>334</v>
      </c>
      <c r="K118" s="85" t="s">
        <v>335</v>
      </c>
      <c r="L118" s="95"/>
      <c r="M118" s="95"/>
      <c r="N118" s="25"/>
      <c r="O118" s="26"/>
      <c r="P118" s="26"/>
      <c r="Q118" s="26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25" t="s">
        <v>336</v>
      </c>
      <c r="AO118" s="33"/>
      <c r="AP118" s="25"/>
      <c r="AQ118" s="33"/>
      <c r="AR118" s="31"/>
      <c r="AS118" s="33" t="s">
        <v>332</v>
      </c>
      <c r="AT118" s="25"/>
      <c r="AU118" s="75" t="s">
        <v>337</v>
      </c>
      <c r="AV118" s="95"/>
      <c r="AW118" s="41"/>
      <c r="AX118" s="95"/>
      <c r="AY118" s="95"/>
      <c r="AZ118" s="95" t="s">
        <v>332</v>
      </c>
      <c r="BA118" s="95"/>
      <c r="BB118" s="95"/>
      <c r="BC118" s="95"/>
      <c r="BD118" s="95"/>
      <c r="BE118" s="31" t="s">
        <v>338</v>
      </c>
      <c r="BF118" s="95"/>
      <c r="BG118" s="95" t="s">
        <v>339</v>
      </c>
      <c r="BH118" s="95"/>
      <c r="BI118" s="95" t="s">
        <v>339</v>
      </c>
      <c r="BJ118" s="75"/>
      <c r="BK118" s="76">
        <v>16.7</v>
      </c>
      <c r="BL118" s="45" t="s">
        <v>340</v>
      </c>
      <c r="BM118" s="45" t="s">
        <v>341</v>
      </c>
      <c r="BN118" s="36"/>
      <c r="BO118" s="36"/>
      <c r="BP118" s="36"/>
      <c r="BQ118" s="134">
        <v>2.6</v>
      </c>
      <c r="BR118" s="134">
        <v>4.88</v>
      </c>
      <c r="BS118" s="77">
        <v>0.215</v>
      </c>
      <c r="BT118" s="74">
        <f>2.755+0.036</f>
        <v>2.7909999999999999</v>
      </c>
      <c r="BU118" s="74">
        <f>2.755+0.036</f>
        <v>2.7909999999999999</v>
      </c>
      <c r="BV118" s="74">
        <f>4.921+0.072</f>
        <v>4.9930000000000003</v>
      </c>
      <c r="BW118" s="92">
        <f t="shared" si="26"/>
        <v>2.2508030806134258E-2</v>
      </c>
      <c r="BX118" s="78">
        <v>5.0000000000000001E-3</v>
      </c>
      <c r="BY118" s="94">
        <f>11.417+0.25</f>
        <v>11.667</v>
      </c>
      <c r="BZ118" s="94">
        <f>8.661+0.25</f>
        <v>8.9109999999999996</v>
      </c>
      <c r="CA118" s="94">
        <f>5.118+0.5</f>
        <v>5.6180000000000003</v>
      </c>
      <c r="CB118" s="92">
        <f t="shared" si="27"/>
        <v>0.33800539969097226</v>
      </c>
      <c r="CC118" s="121">
        <v>2.1999999999999999E-2</v>
      </c>
      <c r="CD118" s="121"/>
      <c r="CE118" s="121"/>
      <c r="CF118" s="105" t="s">
        <v>135</v>
      </c>
      <c r="CG118" s="72">
        <v>12</v>
      </c>
      <c r="CH118" s="72">
        <v>17</v>
      </c>
      <c r="CI118" s="72">
        <v>8</v>
      </c>
      <c r="CJ118" s="27">
        <f t="shared" si="25"/>
        <v>1632</v>
      </c>
      <c r="CK118" s="27">
        <v>395</v>
      </c>
      <c r="CL118" s="27" t="s">
        <v>150</v>
      </c>
      <c r="CM118" s="27" t="s">
        <v>151</v>
      </c>
      <c r="CN118" s="71"/>
      <c r="CO118" s="71"/>
    </row>
    <row r="119" spans="1:95" s="1" customFormat="1" x14ac:dyDescent="0.25">
      <c r="A119" s="88">
        <v>42395</v>
      </c>
      <c r="B119" s="74" t="s">
        <v>12</v>
      </c>
      <c r="C119" s="73" t="s">
        <v>342</v>
      </c>
      <c r="D119" s="73" t="s">
        <v>106</v>
      </c>
      <c r="E119" s="73" t="s">
        <v>311</v>
      </c>
      <c r="F119" s="84" t="s">
        <v>343</v>
      </c>
      <c r="G119" s="84"/>
      <c r="H119" s="84"/>
      <c r="I119" s="84"/>
      <c r="J119" s="41" t="s">
        <v>270</v>
      </c>
      <c r="K119" s="85" t="s">
        <v>344</v>
      </c>
      <c r="L119" s="95"/>
      <c r="M119" s="95"/>
      <c r="N119" s="25"/>
      <c r="O119" s="26"/>
      <c r="P119" s="26"/>
      <c r="Q119" s="26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25"/>
      <c r="AO119" s="33"/>
      <c r="AP119" s="25"/>
      <c r="AQ119" s="33"/>
      <c r="AR119" s="31"/>
      <c r="AS119" s="33"/>
      <c r="AT119" s="25"/>
      <c r="AU119" s="75"/>
      <c r="AV119" s="95"/>
      <c r="AW119" s="41"/>
      <c r="AX119" s="95"/>
      <c r="AY119" s="95"/>
      <c r="AZ119" s="95"/>
      <c r="BA119" s="95"/>
      <c r="BB119" s="95" t="s">
        <v>342</v>
      </c>
      <c r="BC119" s="95"/>
      <c r="BD119" s="95"/>
      <c r="BE119" s="31"/>
      <c r="BF119" s="95"/>
      <c r="BG119" s="95" t="s">
        <v>345</v>
      </c>
      <c r="BH119" s="95"/>
      <c r="BI119" s="95" t="s">
        <v>345</v>
      </c>
      <c r="BJ119" s="75" t="s">
        <v>346</v>
      </c>
      <c r="BK119" s="76">
        <v>16.93</v>
      </c>
      <c r="BL119" s="45" t="s">
        <v>290</v>
      </c>
      <c r="BM119" s="45" t="s">
        <v>347</v>
      </c>
      <c r="BN119" s="36"/>
      <c r="BO119" s="36"/>
      <c r="BP119" s="36"/>
      <c r="BQ119" s="134">
        <v>3.25</v>
      </c>
      <c r="BR119" s="134">
        <v>2.83</v>
      </c>
      <c r="BS119" s="144">
        <v>0.15</v>
      </c>
      <c r="BT119" s="117">
        <f>3.346+0.036</f>
        <v>3.3820000000000001</v>
      </c>
      <c r="BU119" s="117">
        <f>3.346+0.036</f>
        <v>3.3820000000000001</v>
      </c>
      <c r="BV119" s="117">
        <f>3.07+0.072</f>
        <v>3.1419999999999999</v>
      </c>
      <c r="BW119" s="92">
        <f t="shared" si="26"/>
        <v>2.0797428939814816E-2</v>
      </c>
      <c r="BX119" s="78">
        <v>0.1</v>
      </c>
      <c r="BY119" s="94">
        <f>13.78+0.25</f>
        <v>14.03</v>
      </c>
      <c r="BZ119" s="94">
        <f>10.43+0.25</f>
        <v>10.68</v>
      </c>
      <c r="CA119" s="94">
        <f>3.58+0.5</f>
        <v>4.08</v>
      </c>
      <c r="CB119" s="92">
        <f t="shared" si="27"/>
        <v>0.3537898333333333</v>
      </c>
      <c r="CC119" s="121">
        <v>0.25</v>
      </c>
      <c r="CD119" s="121"/>
      <c r="CE119" s="121"/>
      <c r="CF119" s="105" t="s">
        <v>135</v>
      </c>
      <c r="CG119" s="27">
        <v>12</v>
      </c>
      <c r="CH119" s="27">
        <v>11</v>
      </c>
      <c r="CI119" s="27">
        <v>11</v>
      </c>
      <c r="CJ119" s="27">
        <f t="shared" si="25"/>
        <v>1452</v>
      </c>
      <c r="CK119" s="27">
        <v>447.21600000000001</v>
      </c>
      <c r="CL119" s="72" t="s">
        <v>322</v>
      </c>
      <c r="CM119" s="79" t="s">
        <v>151</v>
      </c>
      <c r="CN119" s="71"/>
      <c r="CO119" s="71"/>
    </row>
    <row r="120" spans="1:95" s="1" customFormat="1" x14ac:dyDescent="0.25">
      <c r="A120" s="88">
        <v>42395</v>
      </c>
      <c r="B120" s="73" t="s">
        <v>12</v>
      </c>
      <c r="C120" s="73" t="s">
        <v>348</v>
      </c>
      <c r="D120" s="73" t="s">
        <v>54</v>
      </c>
      <c r="E120" s="101" t="s">
        <v>349</v>
      </c>
      <c r="F120" s="84" t="s">
        <v>350</v>
      </c>
      <c r="G120" s="84"/>
      <c r="H120" s="84"/>
      <c r="I120" s="84"/>
      <c r="J120" s="41" t="s">
        <v>351</v>
      </c>
      <c r="K120" s="85" t="s">
        <v>352</v>
      </c>
      <c r="L120" s="95"/>
      <c r="M120" s="95"/>
      <c r="N120" s="25"/>
      <c r="O120" s="26"/>
      <c r="P120" s="26"/>
      <c r="Q120" s="26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25"/>
      <c r="AO120" s="33"/>
      <c r="AP120" s="25"/>
      <c r="AQ120" s="33"/>
      <c r="AR120" s="31" t="s">
        <v>353</v>
      </c>
      <c r="AS120" s="33"/>
      <c r="AT120" s="25"/>
      <c r="AU120" s="75"/>
      <c r="AV120" s="95"/>
      <c r="AW120" s="41"/>
      <c r="AX120" s="95"/>
      <c r="AY120" s="95"/>
      <c r="AZ120" s="95"/>
      <c r="BA120" s="95"/>
      <c r="BB120" s="95"/>
      <c r="BC120" s="95"/>
      <c r="BD120" s="95"/>
      <c r="BE120" s="31"/>
      <c r="BF120" s="95"/>
      <c r="BG120" s="95"/>
      <c r="BH120" s="95"/>
      <c r="BI120" s="95"/>
      <c r="BJ120" s="75"/>
      <c r="BK120" s="76">
        <v>43.11</v>
      </c>
      <c r="BL120" s="82" t="s">
        <v>354</v>
      </c>
      <c r="BM120" s="82" t="s">
        <v>355</v>
      </c>
      <c r="BN120" s="93"/>
      <c r="BO120" s="93"/>
      <c r="BP120" s="93"/>
      <c r="BQ120" s="93">
        <v>3.9089999999999998</v>
      </c>
      <c r="BR120" s="93">
        <v>5.9450000000000003</v>
      </c>
      <c r="BS120" s="78">
        <v>1.5</v>
      </c>
      <c r="BT120" s="117">
        <v>4.25</v>
      </c>
      <c r="BU120" s="117">
        <v>4.25</v>
      </c>
      <c r="BV120" s="117">
        <v>7</v>
      </c>
      <c r="BW120" s="92">
        <f t="shared" si="26"/>
        <v>7.3169849537037035E-2</v>
      </c>
      <c r="BX120" s="81">
        <v>1.5</v>
      </c>
      <c r="BY120" s="484" t="s">
        <v>356</v>
      </c>
      <c r="BZ120" s="485"/>
      <c r="CA120" s="485"/>
      <c r="CB120" s="485"/>
      <c r="CC120" s="486"/>
      <c r="CD120" s="299"/>
      <c r="CE120" s="299"/>
      <c r="CF120" s="43" t="s">
        <v>135</v>
      </c>
      <c r="CG120" s="74">
        <v>1</v>
      </c>
      <c r="CH120" s="74">
        <v>48</v>
      </c>
      <c r="CI120" s="74">
        <v>3</v>
      </c>
      <c r="CJ120" s="27">
        <f t="shared" si="25"/>
        <v>144</v>
      </c>
      <c r="CK120" s="27">
        <f>((((BS120+BX120)*CG120)+CC120)*CH120*CI120)+50</f>
        <v>482</v>
      </c>
      <c r="CL120" s="74" t="s">
        <v>136</v>
      </c>
      <c r="CM120" s="83" t="s">
        <v>151</v>
      </c>
      <c r="CN120" s="145"/>
      <c r="CO120" s="145"/>
    </row>
    <row r="121" spans="1:95" s="1" customFormat="1" x14ac:dyDescent="0.25">
      <c r="A121" s="146">
        <v>42341</v>
      </c>
      <c r="B121" s="73" t="s">
        <v>12</v>
      </c>
      <c r="C121" s="73" t="s">
        <v>357</v>
      </c>
      <c r="D121" s="95" t="s">
        <v>106</v>
      </c>
      <c r="E121" s="73" t="s">
        <v>358</v>
      </c>
      <c r="F121" s="147" t="s">
        <v>359</v>
      </c>
      <c r="G121" s="147"/>
      <c r="H121" s="147"/>
      <c r="I121" s="147"/>
      <c r="J121" s="72" t="s">
        <v>169</v>
      </c>
      <c r="K121" s="41" t="s">
        <v>360</v>
      </c>
      <c r="L121" s="95"/>
      <c r="M121" s="95"/>
      <c r="N121" s="25"/>
      <c r="O121" s="26"/>
      <c r="P121" s="26"/>
      <c r="Q121" s="26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25"/>
      <c r="AO121" s="33"/>
      <c r="AP121" s="25"/>
      <c r="AQ121" s="33"/>
      <c r="AR121" s="31"/>
      <c r="AS121" s="33"/>
      <c r="AT121" s="25"/>
      <c r="AU121" s="72" t="s">
        <v>361</v>
      </c>
      <c r="AV121" s="74" t="s">
        <v>362</v>
      </c>
      <c r="AW121" s="41"/>
      <c r="AX121" s="95"/>
      <c r="AY121" s="95"/>
      <c r="AZ121" s="95"/>
      <c r="BA121" s="95"/>
      <c r="BB121" s="95"/>
      <c r="BC121" s="95"/>
      <c r="BD121" s="95"/>
      <c r="BE121" s="74" t="s">
        <v>363</v>
      </c>
      <c r="BF121" s="95"/>
      <c r="BG121" s="95"/>
      <c r="BH121" s="95"/>
      <c r="BI121" s="95"/>
      <c r="BJ121" s="148">
        <v>49073</v>
      </c>
      <c r="BK121" s="156">
        <v>14.99</v>
      </c>
      <c r="BL121" s="45" t="s">
        <v>368</v>
      </c>
      <c r="BM121" s="45" t="s">
        <v>369</v>
      </c>
      <c r="BN121" s="104">
        <v>11.38</v>
      </c>
      <c r="BO121" s="104">
        <v>11.5</v>
      </c>
      <c r="BP121" s="104">
        <v>1.08</v>
      </c>
      <c r="BQ121" s="36"/>
      <c r="BR121" s="36"/>
      <c r="BS121" s="149"/>
      <c r="BT121" s="47">
        <f>11.5+0.018+0.018</f>
        <v>11.536000000000001</v>
      </c>
      <c r="BU121" s="47">
        <f>2+0.018+0.018</f>
        <v>2.0359999999999996</v>
      </c>
      <c r="BV121" s="47">
        <f>11.5+(4*0.018)</f>
        <v>11.571999999999999</v>
      </c>
      <c r="BW121" s="47">
        <f t="shared" si="26"/>
        <v>0.15728876696296293</v>
      </c>
      <c r="BX121" s="150">
        <f>0.25+0.661</f>
        <v>0.91100000000000003</v>
      </c>
      <c r="BY121" s="151">
        <v>16.37</v>
      </c>
      <c r="BZ121" s="151">
        <v>12.5</v>
      </c>
      <c r="CA121" s="151">
        <v>12.75</v>
      </c>
      <c r="CB121" s="47">
        <f t="shared" ref="CB121:CB132" si="29">(CA121*BZ121*BY121)/1728</f>
        <v>1.5098198784722223</v>
      </c>
      <c r="CC121" s="152">
        <v>1.04</v>
      </c>
      <c r="CD121" s="152"/>
      <c r="CE121" s="152"/>
      <c r="CF121" s="153" t="s">
        <v>135</v>
      </c>
      <c r="CG121" s="24">
        <v>6</v>
      </c>
      <c r="CH121" s="24">
        <v>12</v>
      </c>
      <c r="CI121" s="24">
        <v>3</v>
      </c>
      <c r="CJ121" s="154">
        <f t="shared" si="25"/>
        <v>216</v>
      </c>
      <c r="CK121" s="27">
        <f t="shared" ref="CK121:CK122" si="30">((((BS121+BX121)*CG121)+CB121)*CH121*CI121)+50</f>
        <v>301.12951562500001</v>
      </c>
      <c r="CL121" s="27" t="s">
        <v>140</v>
      </c>
      <c r="CM121" s="24" t="s">
        <v>137</v>
      </c>
      <c r="CN121" s="145"/>
      <c r="CO121" s="35"/>
      <c r="CP121" s="71"/>
      <c r="CQ121" s="71"/>
    </row>
    <row r="122" spans="1:95" s="1" customFormat="1" x14ac:dyDescent="0.25">
      <c r="A122" s="146">
        <v>42341</v>
      </c>
      <c r="B122" s="72" t="s">
        <v>12</v>
      </c>
      <c r="C122" s="72" t="s">
        <v>370</v>
      </c>
      <c r="D122" s="95" t="s">
        <v>106</v>
      </c>
      <c r="E122" s="73" t="s">
        <v>358</v>
      </c>
      <c r="F122" s="147" t="s">
        <v>371</v>
      </c>
      <c r="G122" s="147"/>
      <c r="H122" s="147"/>
      <c r="I122" s="147"/>
      <c r="J122" s="72" t="s">
        <v>270</v>
      </c>
      <c r="K122" s="41" t="s">
        <v>372</v>
      </c>
      <c r="L122" s="95"/>
      <c r="M122" s="95"/>
      <c r="N122" s="25"/>
      <c r="O122" s="26"/>
      <c r="P122" s="26"/>
      <c r="Q122" s="26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25"/>
      <c r="AO122" s="33"/>
      <c r="AP122" s="25"/>
      <c r="AQ122" s="33"/>
      <c r="AR122" s="31"/>
      <c r="AS122" s="33"/>
      <c r="AT122" s="25"/>
      <c r="AU122" s="72" t="s">
        <v>373</v>
      </c>
      <c r="AV122" s="95"/>
      <c r="AW122" s="41"/>
      <c r="AX122" s="95"/>
      <c r="AY122" s="95"/>
      <c r="AZ122" s="95"/>
      <c r="BA122" s="95"/>
      <c r="BB122" s="95"/>
      <c r="BC122" s="75"/>
      <c r="BD122" s="95"/>
      <c r="BE122" s="72"/>
      <c r="BF122" s="95"/>
      <c r="BG122" s="95"/>
      <c r="BH122" s="95"/>
      <c r="BI122" s="95"/>
      <c r="BJ122" s="72"/>
      <c r="BK122" s="156">
        <v>14.91</v>
      </c>
      <c r="BL122" s="45" t="s">
        <v>374</v>
      </c>
      <c r="BM122" s="45" t="s">
        <v>375</v>
      </c>
      <c r="BN122" s="104">
        <v>11.77</v>
      </c>
      <c r="BO122" s="104">
        <v>8.92</v>
      </c>
      <c r="BP122" s="104">
        <v>1.48</v>
      </c>
      <c r="BQ122" s="36"/>
      <c r="BR122" s="36"/>
      <c r="BS122" s="149"/>
      <c r="BT122" s="157">
        <f>10+0.018+0.018</f>
        <v>10.036000000000001</v>
      </c>
      <c r="BU122" s="157">
        <f>2.5+0.018+0.018</f>
        <v>2.5359999999999996</v>
      </c>
      <c r="BV122" s="157">
        <f>12.5+(4*0.018)</f>
        <v>12.571999999999999</v>
      </c>
      <c r="BW122" s="47">
        <f t="shared" si="26"/>
        <v>0.18516996140740738</v>
      </c>
      <c r="BX122" s="158">
        <f>0.22+0.688</f>
        <v>0.90799999999999992</v>
      </c>
      <c r="BY122" s="157">
        <v>15.75</v>
      </c>
      <c r="BZ122" s="157">
        <v>13.25</v>
      </c>
      <c r="CA122" s="157">
        <v>11</v>
      </c>
      <c r="CB122" s="47">
        <f t="shared" si="29"/>
        <v>1.3284505208333333</v>
      </c>
      <c r="CC122" s="152">
        <v>1.08</v>
      </c>
      <c r="CD122" s="152"/>
      <c r="CE122" s="152"/>
      <c r="CF122" s="24" t="s">
        <v>135</v>
      </c>
      <c r="CG122" s="24">
        <v>6</v>
      </c>
      <c r="CH122" s="24">
        <v>9</v>
      </c>
      <c r="CI122" s="24">
        <v>4</v>
      </c>
      <c r="CJ122" s="154">
        <f t="shared" si="25"/>
        <v>216</v>
      </c>
      <c r="CK122" s="27">
        <f t="shared" si="30"/>
        <v>293.95221874999999</v>
      </c>
      <c r="CL122" s="27" t="s">
        <v>140</v>
      </c>
      <c r="CM122" s="24" t="s">
        <v>137</v>
      </c>
      <c r="CN122" s="145"/>
      <c r="CO122" s="145"/>
    </row>
    <row r="123" spans="1:95" s="1" customFormat="1" x14ac:dyDescent="0.25">
      <c r="A123" s="146">
        <v>42341</v>
      </c>
      <c r="B123" s="75" t="s">
        <v>12</v>
      </c>
      <c r="C123" s="75" t="s">
        <v>376</v>
      </c>
      <c r="D123" s="95" t="s">
        <v>106</v>
      </c>
      <c r="E123" s="101" t="s">
        <v>101</v>
      </c>
      <c r="F123" s="147" t="s">
        <v>377</v>
      </c>
      <c r="G123" s="147"/>
      <c r="H123" s="147"/>
      <c r="I123" s="147"/>
      <c r="J123" s="75" t="s">
        <v>378</v>
      </c>
      <c r="K123" s="41" t="s">
        <v>379</v>
      </c>
      <c r="L123" s="95"/>
      <c r="M123" s="95"/>
      <c r="N123" s="25"/>
      <c r="O123" s="26"/>
      <c r="P123" s="26"/>
      <c r="Q123" s="26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25"/>
      <c r="AO123" s="33"/>
      <c r="AP123" s="25"/>
      <c r="AQ123" s="33"/>
      <c r="AR123" s="31"/>
      <c r="AS123" s="33"/>
      <c r="AT123" s="25"/>
      <c r="AU123" s="75"/>
      <c r="AV123" s="95"/>
      <c r="AW123" s="41"/>
      <c r="AX123" s="95"/>
      <c r="AY123" s="95"/>
      <c r="AZ123" s="95"/>
      <c r="BA123" s="95"/>
      <c r="BB123" s="95"/>
      <c r="BC123" s="75"/>
      <c r="BD123" s="95"/>
      <c r="BE123" s="75" t="s">
        <v>380</v>
      </c>
      <c r="BF123" s="95"/>
      <c r="BG123" s="75" t="s">
        <v>380</v>
      </c>
      <c r="BH123" s="95"/>
      <c r="BI123" s="95" t="s">
        <v>381</v>
      </c>
      <c r="BJ123" s="75">
        <v>24053</v>
      </c>
      <c r="BK123" s="76">
        <v>15.95</v>
      </c>
      <c r="BL123" s="103" t="s">
        <v>382</v>
      </c>
      <c r="BM123" s="103" t="s">
        <v>383</v>
      </c>
      <c r="BN123" s="104">
        <v>7.6</v>
      </c>
      <c r="BO123" s="104">
        <v>7.4</v>
      </c>
      <c r="BP123" s="104">
        <v>1.18</v>
      </c>
      <c r="BQ123" s="36"/>
      <c r="BR123" s="36"/>
      <c r="BS123" s="77">
        <v>0.2</v>
      </c>
      <c r="BT123" s="120">
        <f>8.87+0.018+0.018</f>
        <v>8.9060000000000006</v>
      </c>
      <c r="BU123" s="74">
        <f>1.31+0.018+0.018</f>
        <v>1.3460000000000001</v>
      </c>
      <c r="BV123" s="74">
        <f>8.87+(0.018*4)</f>
        <v>8.9419999999999984</v>
      </c>
      <c r="BW123" s="92">
        <f t="shared" si="26"/>
        <v>6.2032413421296298E-2</v>
      </c>
      <c r="BX123" s="78">
        <v>0.12</v>
      </c>
      <c r="BY123" s="94">
        <v>10.5</v>
      </c>
      <c r="BZ123" s="94">
        <v>8.75</v>
      </c>
      <c r="CA123" s="94">
        <v>9.75</v>
      </c>
      <c r="CB123" s="92">
        <f t="shared" si="29"/>
        <v>0.51839192708333337</v>
      </c>
      <c r="CC123" s="121">
        <v>0.28000000000000003</v>
      </c>
      <c r="CD123" s="121"/>
      <c r="CE123" s="121"/>
      <c r="CF123" s="43" t="s">
        <v>135</v>
      </c>
      <c r="CG123" s="74">
        <v>6</v>
      </c>
      <c r="CH123" s="74">
        <v>18</v>
      </c>
      <c r="CI123" s="74">
        <v>4</v>
      </c>
      <c r="CJ123" s="27">
        <f t="shared" si="25"/>
        <v>432</v>
      </c>
      <c r="CK123" s="27">
        <f>((BS123+BX123+CC123)*CH123*CI123)+50</f>
        <v>93.2</v>
      </c>
      <c r="CL123" s="74" t="s">
        <v>140</v>
      </c>
      <c r="CM123" s="27" t="s">
        <v>137</v>
      </c>
      <c r="CN123" s="145"/>
      <c r="CO123" s="145"/>
    </row>
    <row r="124" spans="1:95" s="1" customFormat="1" x14ac:dyDescent="0.25">
      <c r="A124" s="146">
        <v>42341</v>
      </c>
      <c r="B124" s="72" t="s">
        <v>12</v>
      </c>
      <c r="C124" s="72" t="s">
        <v>384</v>
      </c>
      <c r="D124" s="95" t="s">
        <v>106</v>
      </c>
      <c r="E124" s="73" t="s">
        <v>101</v>
      </c>
      <c r="F124" s="155" t="s">
        <v>385</v>
      </c>
      <c r="G124" s="155"/>
      <c r="H124" s="155"/>
      <c r="I124" s="155"/>
      <c r="J124" s="72" t="s">
        <v>91</v>
      </c>
      <c r="K124" s="85" t="s">
        <v>386</v>
      </c>
      <c r="L124" s="95"/>
      <c r="M124" s="95"/>
      <c r="N124" s="25"/>
      <c r="O124" s="26"/>
      <c r="P124" s="26"/>
      <c r="Q124" s="26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25"/>
      <c r="AO124" s="33"/>
      <c r="AP124" s="25"/>
      <c r="AQ124" s="33"/>
      <c r="AR124" s="31"/>
      <c r="AS124" s="33"/>
      <c r="AT124" s="25"/>
      <c r="AU124" s="72" t="s">
        <v>387</v>
      </c>
      <c r="AV124" s="95"/>
      <c r="AW124" s="41"/>
      <c r="AX124" s="95"/>
      <c r="AY124" s="95"/>
      <c r="AZ124" s="95"/>
      <c r="BA124" s="95"/>
      <c r="BB124" s="95"/>
      <c r="BC124" s="75" t="s">
        <v>388</v>
      </c>
      <c r="BD124" s="95"/>
      <c r="BE124" s="24" t="s">
        <v>389</v>
      </c>
      <c r="BF124" s="95"/>
      <c r="BG124" s="95"/>
      <c r="BH124" s="95"/>
      <c r="BI124" s="95"/>
      <c r="BJ124" s="72">
        <v>24419</v>
      </c>
      <c r="BK124" s="156">
        <v>19.45</v>
      </c>
      <c r="BL124" s="45" t="s">
        <v>390</v>
      </c>
      <c r="BM124" s="45" t="s">
        <v>391</v>
      </c>
      <c r="BN124" s="104">
        <v>10.119999999999999</v>
      </c>
      <c r="BO124" s="104">
        <v>7.99</v>
      </c>
      <c r="BP124" s="104">
        <v>1.38</v>
      </c>
      <c r="BQ124" s="36"/>
      <c r="BR124" s="36"/>
      <c r="BS124" s="149"/>
      <c r="BT124" s="157">
        <f>10.75+0.018+0.018</f>
        <v>10.786000000000001</v>
      </c>
      <c r="BU124" s="157">
        <f>1.313+0.018+0.018</f>
        <v>1.349</v>
      </c>
      <c r="BV124" s="157">
        <f>11.906+(4*0.018)</f>
        <v>11.978</v>
      </c>
      <c r="BW124" s="47">
        <f t="shared" si="26"/>
        <v>0.10085860016898149</v>
      </c>
      <c r="BX124" s="152">
        <f>0.18+0.36</f>
        <v>0.54</v>
      </c>
      <c r="BY124" s="157">
        <v>13.25</v>
      </c>
      <c r="BZ124" s="157">
        <v>11</v>
      </c>
      <c r="CA124" s="157">
        <v>9</v>
      </c>
      <c r="CB124" s="47">
        <f t="shared" si="29"/>
        <v>0.75911458333333337</v>
      </c>
      <c r="CC124" s="152">
        <v>0.69</v>
      </c>
      <c r="CD124" s="152"/>
      <c r="CE124" s="152"/>
      <c r="CF124" s="24" t="s">
        <v>135</v>
      </c>
      <c r="CG124" s="24">
        <v>6</v>
      </c>
      <c r="CH124" s="24">
        <v>12</v>
      </c>
      <c r="CI124" s="24">
        <v>4</v>
      </c>
      <c r="CJ124" s="154">
        <f t="shared" si="25"/>
        <v>288</v>
      </c>
      <c r="CK124" s="27">
        <f t="shared" ref="CK124:CK128" si="31">((((BS124+BX124)*CG124)+CB124)*CH124*CI124)+50</f>
        <v>241.95750000000001</v>
      </c>
      <c r="CL124" s="154" t="s">
        <v>140</v>
      </c>
      <c r="CM124" s="154" t="s">
        <v>137</v>
      </c>
      <c r="CN124" s="145"/>
      <c r="CO124" s="145"/>
    </row>
    <row r="125" spans="1:95" s="1" customFormat="1" x14ac:dyDescent="0.25">
      <c r="A125" s="146">
        <v>42341</v>
      </c>
      <c r="B125" s="72" t="s">
        <v>12</v>
      </c>
      <c r="C125" s="72" t="s">
        <v>392</v>
      </c>
      <c r="D125" s="95" t="s">
        <v>106</v>
      </c>
      <c r="E125" s="73" t="s">
        <v>101</v>
      </c>
      <c r="F125" s="155" t="s">
        <v>393</v>
      </c>
      <c r="G125" s="155"/>
      <c r="H125" s="155"/>
      <c r="I125" s="155"/>
      <c r="J125" s="41" t="s">
        <v>394</v>
      </c>
      <c r="K125" s="85" t="s">
        <v>395</v>
      </c>
      <c r="L125" s="95"/>
      <c r="M125" s="95"/>
      <c r="N125" s="25"/>
      <c r="O125" s="26"/>
      <c r="P125" s="26"/>
      <c r="Q125" s="26"/>
      <c r="R125" s="34"/>
      <c r="S125" s="34"/>
      <c r="T125" s="34"/>
      <c r="U125" s="34"/>
      <c r="V125" s="34"/>
      <c r="W125" s="34"/>
      <c r="X125" s="381"/>
      <c r="Y125" s="381"/>
      <c r="Z125" s="381"/>
      <c r="AA125" s="381"/>
      <c r="AB125" s="381"/>
      <c r="AC125" s="381"/>
      <c r="AD125" s="381"/>
      <c r="AE125" s="381"/>
      <c r="AF125" s="381"/>
      <c r="AG125" s="381"/>
      <c r="AH125" s="381"/>
      <c r="AI125" s="381"/>
      <c r="AJ125" s="381"/>
      <c r="AK125" s="381"/>
      <c r="AL125" s="381"/>
      <c r="AM125" s="381"/>
      <c r="AN125" s="159"/>
      <c r="AO125" s="33"/>
      <c r="AP125" s="25"/>
      <c r="AQ125" s="33"/>
      <c r="AR125" s="31"/>
      <c r="AS125" s="33"/>
      <c r="AT125" s="25"/>
      <c r="AU125" s="75"/>
      <c r="AV125" s="95"/>
      <c r="AW125" s="41"/>
      <c r="AX125" s="95"/>
      <c r="AY125" s="95"/>
      <c r="AZ125" s="95"/>
      <c r="BA125" s="95"/>
      <c r="BB125" s="95"/>
      <c r="BC125" s="95"/>
      <c r="BD125" s="95"/>
      <c r="BE125" s="31"/>
      <c r="BF125" s="95"/>
      <c r="BG125" s="95"/>
      <c r="BH125" s="95"/>
      <c r="BI125" s="95"/>
      <c r="BJ125" s="72">
        <v>24021</v>
      </c>
      <c r="BK125" s="156">
        <v>45.27</v>
      </c>
      <c r="BL125" s="45" t="s">
        <v>396</v>
      </c>
      <c r="BM125" s="45" t="s">
        <v>397</v>
      </c>
      <c r="BN125" s="104">
        <v>8.4600000000000009</v>
      </c>
      <c r="BO125" s="104">
        <v>8.4600000000000009</v>
      </c>
      <c r="BP125" s="104">
        <v>1.1599999999999999</v>
      </c>
      <c r="BQ125" s="36"/>
      <c r="BR125" s="36"/>
      <c r="BS125" s="149"/>
      <c r="BT125" s="157">
        <f>9.06+0.018+0.018</f>
        <v>9.0960000000000019</v>
      </c>
      <c r="BU125" s="157">
        <f>1.37+0.018+0.018</f>
        <v>1.4060000000000001</v>
      </c>
      <c r="BV125" s="157">
        <f>9.25+(4*0.018)</f>
        <v>9.3219999999999992</v>
      </c>
      <c r="BW125" s="47">
        <f t="shared" si="26"/>
        <v>6.8992380944444473E-2</v>
      </c>
      <c r="BX125" s="152">
        <f>0.12+0.32</f>
        <v>0.44</v>
      </c>
      <c r="BY125" s="157">
        <v>10.5</v>
      </c>
      <c r="BZ125" s="157">
        <v>8.75</v>
      </c>
      <c r="CA125" s="157">
        <v>9.75</v>
      </c>
      <c r="CB125" s="47">
        <f t="shared" si="29"/>
        <v>0.51839192708333337</v>
      </c>
      <c r="CC125" s="152">
        <v>0.28000000000000003</v>
      </c>
      <c r="CD125" s="152"/>
      <c r="CE125" s="152"/>
      <c r="CF125" s="24" t="s">
        <v>135</v>
      </c>
      <c r="CG125" s="24">
        <v>6</v>
      </c>
      <c r="CH125" s="24">
        <v>18</v>
      </c>
      <c r="CI125" s="24">
        <v>4</v>
      </c>
      <c r="CJ125" s="154">
        <f t="shared" si="25"/>
        <v>432</v>
      </c>
      <c r="CK125" s="27">
        <f t="shared" si="31"/>
        <v>277.40421875000004</v>
      </c>
      <c r="CL125" s="27" t="s">
        <v>140</v>
      </c>
      <c r="CM125" s="24" t="s">
        <v>141</v>
      </c>
      <c r="CN125" s="145"/>
      <c r="CO125" s="145"/>
    </row>
    <row r="126" spans="1:95" s="1" customFormat="1" x14ac:dyDescent="0.25">
      <c r="A126" s="146">
        <v>42341</v>
      </c>
      <c r="B126" s="72" t="s">
        <v>12</v>
      </c>
      <c r="C126" s="72" t="s">
        <v>398</v>
      </c>
      <c r="D126" s="95" t="s">
        <v>106</v>
      </c>
      <c r="E126" s="73" t="s">
        <v>101</v>
      </c>
      <c r="F126" s="160" t="s">
        <v>399</v>
      </c>
      <c r="G126" s="160"/>
      <c r="H126" s="160"/>
      <c r="I126" s="160"/>
      <c r="J126" s="72" t="s">
        <v>400</v>
      </c>
      <c r="K126" s="86" t="s">
        <v>401</v>
      </c>
      <c r="L126" s="95"/>
      <c r="M126" s="95"/>
      <c r="N126" s="25"/>
      <c r="O126" s="26"/>
      <c r="P126" s="26"/>
      <c r="Q126" s="26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25"/>
      <c r="AO126" s="33"/>
      <c r="AP126" s="25"/>
      <c r="AQ126" s="33"/>
      <c r="AR126" s="31"/>
      <c r="AS126" s="33"/>
      <c r="AT126" s="25"/>
      <c r="AU126" s="75"/>
      <c r="AV126" s="95"/>
      <c r="AW126" s="41"/>
      <c r="AX126" s="95"/>
      <c r="AY126" s="95"/>
      <c r="AZ126" s="95"/>
      <c r="BA126" s="95"/>
      <c r="BB126" s="95"/>
      <c r="BC126" s="95"/>
      <c r="BD126" s="95"/>
      <c r="BE126" s="31"/>
      <c r="BF126" s="95"/>
      <c r="BG126" s="95"/>
      <c r="BH126" s="95"/>
      <c r="BI126" s="95"/>
      <c r="BJ126" s="72" t="s">
        <v>402</v>
      </c>
      <c r="BK126" s="156">
        <v>41.96</v>
      </c>
      <c r="BL126" s="45" t="s">
        <v>403</v>
      </c>
      <c r="BM126" s="45" t="s">
        <v>404</v>
      </c>
      <c r="BN126" s="104">
        <v>10.75</v>
      </c>
      <c r="BO126" s="104">
        <v>7.76</v>
      </c>
      <c r="BP126" s="104">
        <v>0.4</v>
      </c>
      <c r="BQ126" s="36"/>
      <c r="BR126" s="36"/>
      <c r="BS126" s="149"/>
      <c r="BT126" s="157">
        <f>8.281+0.018+0.018</f>
        <v>8.3170000000000019</v>
      </c>
      <c r="BU126" s="157">
        <f>1.375+0.018+0.018</f>
        <v>1.411</v>
      </c>
      <c r="BV126" s="157">
        <f>11.25+(4*0.018)</f>
        <v>11.321999999999999</v>
      </c>
      <c r="BW126" s="47">
        <f t="shared" si="26"/>
        <v>7.6890578364583351E-2</v>
      </c>
      <c r="BX126" s="152">
        <f>0.12+0.27</f>
        <v>0.39</v>
      </c>
      <c r="BY126" s="157">
        <f>11.62+0.25</f>
        <v>11.87</v>
      </c>
      <c r="BZ126" s="157">
        <v>9</v>
      </c>
      <c r="CA126" s="157">
        <v>9</v>
      </c>
      <c r="CB126" s="47">
        <f t="shared" si="29"/>
        <v>0.55640624999999999</v>
      </c>
      <c r="CC126" s="152">
        <v>0.53</v>
      </c>
      <c r="CD126" s="152"/>
      <c r="CE126" s="152"/>
      <c r="CF126" s="24" t="s">
        <v>135</v>
      </c>
      <c r="CG126" s="24">
        <v>6</v>
      </c>
      <c r="CH126" s="24">
        <v>17</v>
      </c>
      <c r="CI126" s="24">
        <v>5</v>
      </c>
      <c r="CJ126" s="154">
        <f t="shared" si="25"/>
        <v>510</v>
      </c>
      <c r="CK126" s="27">
        <f t="shared" si="31"/>
        <v>296.19453125000001</v>
      </c>
      <c r="CL126" s="27" t="s">
        <v>140</v>
      </c>
      <c r="CM126" s="24" t="s">
        <v>141</v>
      </c>
      <c r="CN126" s="35"/>
      <c r="CO126" s="35"/>
    </row>
    <row r="127" spans="1:95" s="1" customFormat="1" ht="30" x14ac:dyDescent="0.25">
      <c r="A127" s="146">
        <v>42341</v>
      </c>
      <c r="B127" s="72" t="s">
        <v>12</v>
      </c>
      <c r="C127" s="72" t="s">
        <v>405</v>
      </c>
      <c r="D127" s="95" t="s">
        <v>106</v>
      </c>
      <c r="E127" s="73" t="s">
        <v>101</v>
      </c>
      <c r="F127" s="147" t="s">
        <v>406</v>
      </c>
      <c r="G127" s="147"/>
      <c r="H127" s="147"/>
      <c r="I127" s="147"/>
      <c r="J127" s="72" t="s">
        <v>407</v>
      </c>
      <c r="K127" s="46" t="s">
        <v>408</v>
      </c>
      <c r="L127" s="95"/>
      <c r="M127" s="95"/>
      <c r="N127" s="25"/>
      <c r="O127" s="26"/>
      <c r="P127" s="26"/>
      <c r="Q127" s="26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25"/>
      <c r="AO127" s="33"/>
      <c r="AP127" s="25"/>
      <c r="AQ127" s="33"/>
      <c r="AR127" s="31"/>
      <c r="AS127" s="33"/>
      <c r="AT127" s="25"/>
      <c r="AU127" s="75"/>
      <c r="AV127" s="95"/>
      <c r="AW127" s="41"/>
      <c r="AX127" s="95"/>
      <c r="AY127" s="95"/>
      <c r="AZ127" s="95"/>
      <c r="BA127" s="95"/>
      <c r="BB127" s="95"/>
      <c r="BC127" s="95"/>
      <c r="BD127" s="95"/>
      <c r="BE127" s="31"/>
      <c r="BF127" s="95"/>
      <c r="BG127" s="95"/>
      <c r="BH127" s="95"/>
      <c r="BI127" s="95"/>
      <c r="BJ127" s="72">
        <v>24439</v>
      </c>
      <c r="BK127" s="156">
        <v>39.36</v>
      </c>
      <c r="BL127" s="45" t="s">
        <v>409</v>
      </c>
      <c r="BM127" s="45" t="s">
        <v>410</v>
      </c>
      <c r="BN127" s="104">
        <v>9.9600000000000009</v>
      </c>
      <c r="BO127" s="104">
        <v>10.08</v>
      </c>
      <c r="BP127" s="104">
        <v>1.38</v>
      </c>
      <c r="BQ127" s="36"/>
      <c r="BR127" s="36"/>
      <c r="BS127" s="149"/>
      <c r="BT127" s="157">
        <f>10.031+0.018+0.018</f>
        <v>10.067000000000002</v>
      </c>
      <c r="BU127" s="157">
        <f>1.61+0.018+0.018</f>
        <v>1.6460000000000001</v>
      </c>
      <c r="BV127" s="157">
        <f>10.625+(4*0.018)</f>
        <v>10.696999999999999</v>
      </c>
      <c r="BW127" s="47">
        <f t="shared" si="26"/>
        <v>0.10257656629282409</v>
      </c>
      <c r="BX127" s="152">
        <f>0.15+0.23</f>
        <v>0.38</v>
      </c>
      <c r="BY127" s="157">
        <v>12</v>
      </c>
      <c r="BZ127" s="157">
        <v>10.37</v>
      </c>
      <c r="CA127" s="157">
        <v>10.62</v>
      </c>
      <c r="CB127" s="47">
        <f t="shared" si="29"/>
        <v>0.76478749999999995</v>
      </c>
      <c r="CC127" s="152">
        <v>0.66</v>
      </c>
      <c r="CD127" s="152"/>
      <c r="CE127" s="152"/>
      <c r="CF127" s="24" t="s">
        <v>135</v>
      </c>
      <c r="CG127" s="24">
        <v>6</v>
      </c>
      <c r="CH127" s="24">
        <v>12</v>
      </c>
      <c r="CI127" s="24">
        <v>4</v>
      </c>
      <c r="CJ127" s="154">
        <f t="shared" si="25"/>
        <v>288</v>
      </c>
      <c r="CK127" s="27">
        <f t="shared" si="31"/>
        <v>196.1498</v>
      </c>
      <c r="CL127" s="27" t="s">
        <v>140</v>
      </c>
      <c r="CM127" s="24" t="s">
        <v>141</v>
      </c>
      <c r="CN127" s="35"/>
      <c r="CO127" s="35"/>
    </row>
    <row r="128" spans="1:95" s="1" customFormat="1" x14ac:dyDescent="0.25">
      <c r="A128" s="146">
        <v>42341</v>
      </c>
      <c r="B128" s="72" t="s">
        <v>12</v>
      </c>
      <c r="C128" s="72" t="s">
        <v>411</v>
      </c>
      <c r="D128" s="95" t="s">
        <v>106</v>
      </c>
      <c r="E128" s="73" t="s">
        <v>101</v>
      </c>
      <c r="F128" s="161" t="s">
        <v>412</v>
      </c>
      <c r="G128" s="161"/>
      <c r="H128" s="161"/>
      <c r="I128" s="161"/>
      <c r="J128" s="72" t="s">
        <v>413</v>
      </c>
      <c r="K128" s="71" t="s">
        <v>414</v>
      </c>
      <c r="L128" s="95"/>
      <c r="M128" s="95"/>
      <c r="N128" s="25"/>
      <c r="O128" s="26"/>
      <c r="P128" s="26"/>
      <c r="Q128" s="26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25"/>
      <c r="AO128" s="33"/>
      <c r="AP128" s="25"/>
      <c r="AQ128" s="33"/>
      <c r="AR128" s="31"/>
      <c r="AS128" s="33"/>
      <c r="AT128" s="25"/>
      <c r="AU128" s="75"/>
      <c r="AV128" s="95"/>
      <c r="AW128" s="41"/>
      <c r="AX128" s="95"/>
      <c r="AY128" s="95"/>
      <c r="AZ128" s="95"/>
      <c r="BA128" s="95"/>
      <c r="BB128" s="95"/>
      <c r="BC128" s="95"/>
      <c r="BD128" s="95"/>
      <c r="BE128" s="31"/>
      <c r="BF128" s="95"/>
      <c r="BG128" s="95"/>
      <c r="BH128" s="95"/>
      <c r="BI128" s="95"/>
      <c r="BJ128" s="25"/>
      <c r="BK128" s="156">
        <v>43.87</v>
      </c>
      <c r="BL128" s="45" t="s">
        <v>415</v>
      </c>
      <c r="BM128" s="45" t="s">
        <v>416</v>
      </c>
      <c r="BN128" s="104">
        <v>9.67</v>
      </c>
      <c r="BO128" s="104">
        <v>8.5</v>
      </c>
      <c r="BP128" s="104">
        <v>0.8</v>
      </c>
      <c r="BQ128" s="36"/>
      <c r="BR128" s="36"/>
      <c r="BS128" s="149"/>
      <c r="BT128" s="157">
        <f>8.93+0.018+0.018</f>
        <v>8.9660000000000011</v>
      </c>
      <c r="BU128" s="157">
        <f>1.31+0.018+0.018</f>
        <v>1.3460000000000001</v>
      </c>
      <c r="BV128" s="157">
        <f>9.75+(4*0.018)</f>
        <v>9.8219999999999992</v>
      </c>
      <c r="BW128" s="47">
        <f t="shared" si="26"/>
        <v>6.8596188652777779E-2</v>
      </c>
      <c r="BX128" s="152">
        <f>0.12+0.47</f>
        <v>0.59</v>
      </c>
      <c r="BY128" s="157">
        <v>10.5</v>
      </c>
      <c r="BZ128" s="157">
        <v>8.75</v>
      </c>
      <c r="CA128" s="157">
        <v>9.75</v>
      </c>
      <c r="CB128" s="47">
        <f t="shared" si="29"/>
        <v>0.51839192708333337</v>
      </c>
      <c r="CC128" s="152">
        <v>0.28000000000000003</v>
      </c>
      <c r="CD128" s="152"/>
      <c r="CE128" s="152"/>
      <c r="CF128" s="24" t="s">
        <v>135</v>
      </c>
      <c r="CG128" s="24">
        <v>6</v>
      </c>
      <c r="CH128" s="24">
        <v>18</v>
      </c>
      <c r="CI128" s="24">
        <v>4</v>
      </c>
      <c r="CJ128" s="154">
        <f t="shared" si="25"/>
        <v>432</v>
      </c>
      <c r="CK128" s="27">
        <f t="shared" si="31"/>
        <v>342.20421875</v>
      </c>
      <c r="CL128" s="27" t="s">
        <v>140</v>
      </c>
      <c r="CM128" s="24" t="s">
        <v>141</v>
      </c>
      <c r="CN128" s="35"/>
      <c r="CO128" s="35"/>
    </row>
    <row r="129" spans="1:95" s="1" customFormat="1" x14ac:dyDescent="0.25">
      <c r="A129" s="146">
        <v>42341</v>
      </c>
      <c r="B129" s="72" t="s">
        <v>12</v>
      </c>
      <c r="C129" s="72" t="s">
        <v>417</v>
      </c>
      <c r="D129" s="95" t="s">
        <v>106</v>
      </c>
      <c r="E129" s="73" t="s">
        <v>101</v>
      </c>
      <c r="F129" s="162" t="s">
        <v>418</v>
      </c>
      <c r="G129" s="162"/>
      <c r="H129" s="162"/>
      <c r="I129" s="162"/>
      <c r="J129" s="72" t="s">
        <v>419</v>
      </c>
      <c r="K129" s="163" t="s">
        <v>420</v>
      </c>
      <c r="L129" s="95"/>
      <c r="M129" s="95"/>
      <c r="N129" s="25"/>
      <c r="O129" s="26"/>
      <c r="P129" s="26"/>
      <c r="Q129" s="26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25"/>
      <c r="AO129" s="33"/>
      <c r="AP129" s="25"/>
      <c r="AQ129" s="33"/>
      <c r="AR129" s="31"/>
      <c r="AS129" s="33"/>
      <c r="AT129" s="25"/>
      <c r="AU129" s="75"/>
      <c r="AV129" s="95"/>
      <c r="AW129" s="75"/>
      <c r="AX129" s="95"/>
      <c r="AY129" s="95"/>
      <c r="AZ129" s="95"/>
      <c r="BA129" s="75"/>
      <c r="BB129" s="95"/>
      <c r="BC129" s="95"/>
      <c r="BD129" s="95"/>
      <c r="BE129" s="31"/>
      <c r="BF129" s="95"/>
      <c r="BG129" s="95"/>
      <c r="BH129" s="95"/>
      <c r="BI129" s="95"/>
      <c r="BJ129" s="25"/>
      <c r="BK129" s="156">
        <v>18.940000000000001</v>
      </c>
      <c r="BL129" s="45" t="s">
        <v>421</v>
      </c>
      <c r="BM129" s="45" t="s">
        <v>422</v>
      </c>
      <c r="BN129" s="104">
        <v>9.5299999999999994</v>
      </c>
      <c r="BO129" s="104">
        <v>8.74</v>
      </c>
      <c r="BP129" s="104">
        <v>2.91</v>
      </c>
      <c r="BQ129" s="36"/>
      <c r="BR129" s="36"/>
      <c r="BS129" s="149"/>
      <c r="BT129" s="117">
        <v>10.346</v>
      </c>
      <c r="BU129" s="117">
        <v>2.9660000000000002</v>
      </c>
      <c r="BV129" s="117">
        <v>10.382</v>
      </c>
      <c r="BW129" s="92">
        <v>0.18436603133796298</v>
      </c>
      <c r="BX129" s="164">
        <v>0.26</v>
      </c>
      <c r="BY129" s="117">
        <v>18.62</v>
      </c>
      <c r="BZ129" s="117">
        <v>10.75</v>
      </c>
      <c r="CA129" s="117">
        <v>11</v>
      </c>
      <c r="CB129" s="92">
        <v>1.2741984953703704</v>
      </c>
      <c r="CC129" s="164">
        <v>0.91</v>
      </c>
      <c r="CD129" s="164"/>
      <c r="CE129" s="164"/>
      <c r="CF129" s="74" t="s">
        <v>135</v>
      </c>
      <c r="CG129" s="74">
        <v>6</v>
      </c>
      <c r="CH129" s="74">
        <v>8</v>
      </c>
      <c r="CI129" s="74">
        <v>4</v>
      </c>
      <c r="CJ129" s="27">
        <v>192</v>
      </c>
      <c r="CK129" s="27">
        <v>190.61435185185186</v>
      </c>
      <c r="CL129" s="27" t="s">
        <v>140</v>
      </c>
      <c r="CM129" s="24" t="s">
        <v>141</v>
      </c>
      <c r="CN129" s="145"/>
      <c r="CO129" s="35"/>
    </row>
    <row r="130" spans="1:95" s="1" customFormat="1" x14ac:dyDescent="0.25">
      <c r="A130" s="146">
        <v>42341</v>
      </c>
      <c r="B130" s="72" t="s">
        <v>12</v>
      </c>
      <c r="C130" s="72" t="s">
        <v>423</v>
      </c>
      <c r="D130" s="95" t="s">
        <v>106</v>
      </c>
      <c r="E130" s="73" t="s">
        <v>311</v>
      </c>
      <c r="F130" s="155" t="s">
        <v>424</v>
      </c>
      <c r="G130" s="155"/>
      <c r="H130" s="155"/>
      <c r="I130" s="155"/>
      <c r="J130" s="72" t="s">
        <v>366</v>
      </c>
      <c r="K130" s="31">
        <v>1131840225</v>
      </c>
      <c r="L130" s="95"/>
      <c r="M130" s="95"/>
      <c r="N130" s="25"/>
      <c r="O130" s="26"/>
      <c r="P130" s="26"/>
      <c r="Q130" s="26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25"/>
      <c r="AO130" s="33"/>
      <c r="AP130" s="25"/>
      <c r="AQ130" s="33"/>
      <c r="AR130" s="31"/>
      <c r="AS130" s="33"/>
      <c r="AT130" s="25"/>
      <c r="AU130" s="75"/>
      <c r="AV130" s="95"/>
      <c r="AW130" s="75"/>
      <c r="AX130" s="95"/>
      <c r="AY130" s="95"/>
      <c r="AZ130" s="95"/>
      <c r="BA130" s="72" t="s">
        <v>425</v>
      </c>
      <c r="BB130" s="95"/>
      <c r="BC130" s="95"/>
      <c r="BD130" s="95"/>
      <c r="BE130" s="31"/>
      <c r="BF130" s="95"/>
      <c r="BG130" s="95"/>
      <c r="BH130" s="95"/>
      <c r="BI130" s="95"/>
      <c r="BJ130" s="25"/>
      <c r="BK130" s="156">
        <v>16.93</v>
      </c>
      <c r="BL130" s="45" t="s">
        <v>426</v>
      </c>
      <c r="BM130" s="45" t="s">
        <v>427</v>
      </c>
      <c r="BN130" s="36"/>
      <c r="BO130" s="36"/>
      <c r="BP130" s="36"/>
      <c r="BQ130" s="134">
        <v>2.5590000000000002</v>
      </c>
      <c r="BR130" s="134">
        <v>4.0549999999999997</v>
      </c>
      <c r="BS130" s="165"/>
      <c r="BT130" s="157">
        <f>2.755+0.018+0.018</f>
        <v>2.7909999999999995</v>
      </c>
      <c r="BU130" s="157">
        <f>2.755+0.018+0.018</f>
        <v>2.7909999999999995</v>
      </c>
      <c r="BV130" s="157">
        <f>4.842+(4*0.018)</f>
        <v>4.9139999999999997</v>
      </c>
      <c r="BW130" s="47">
        <f t="shared" si="26"/>
        <v>2.2151905343749986E-2</v>
      </c>
      <c r="BX130" s="158">
        <f>0.1+0.25</f>
        <v>0.35</v>
      </c>
      <c r="BY130" s="157">
        <f>11.42+0.25</f>
        <v>11.67</v>
      </c>
      <c r="BZ130" s="157">
        <f>8.66+0.25</f>
        <v>8.91</v>
      </c>
      <c r="CA130" s="157">
        <v>5.93</v>
      </c>
      <c r="CB130" s="47">
        <f t="shared" si="29"/>
        <v>0.35682848437499998</v>
      </c>
      <c r="CC130" s="24">
        <v>0.25</v>
      </c>
      <c r="CD130" s="24"/>
      <c r="CE130" s="24"/>
      <c r="CF130" s="24" t="s">
        <v>135</v>
      </c>
      <c r="CG130" s="24">
        <v>12</v>
      </c>
      <c r="CH130" s="24">
        <v>17</v>
      </c>
      <c r="CI130" s="24">
        <v>7</v>
      </c>
      <c r="CJ130" s="154">
        <f t="shared" si="25"/>
        <v>1428</v>
      </c>
      <c r="CK130" s="27">
        <f>((((BS130+BX130)*CG130)+CB130)*CH130*CI130)+50</f>
        <v>592.26258964062492</v>
      </c>
      <c r="CL130" s="27" t="s">
        <v>322</v>
      </c>
      <c r="CM130" s="89" t="s">
        <v>151</v>
      </c>
      <c r="CN130" s="145"/>
      <c r="CO130" s="145"/>
    </row>
    <row r="131" spans="1:95" s="1" customFormat="1" x14ac:dyDescent="0.25">
      <c r="A131" s="146">
        <v>42341</v>
      </c>
      <c r="B131" s="72" t="s">
        <v>12</v>
      </c>
      <c r="C131" s="72" t="s">
        <v>364</v>
      </c>
      <c r="D131" s="95" t="s">
        <v>106</v>
      </c>
      <c r="E131" s="73" t="s">
        <v>311</v>
      </c>
      <c r="F131" s="155" t="s">
        <v>365</v>
      </c>
      <c r="G131" s="155"/>
      <c r="H131" s="155"/>
      <c r="I131" s="155"/>
      <c r="J131" s="72" t="s">
        <v>366</v>
      </c>
      <c r="K131" s="31">
        <v>2761800009</v>
      </c>
      <c r="L131" s="95"/>
      <c r="M131" s="95"/>
      <c r="N131" s="25"/>
      <c r="O131" s="26"/>
      <c r="P131" s="26"/>
      <c r="Q131" s="26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25"/>
      <c r="AO131" s="33"/>
      <c r="AP131" s="25"/>
      <c r="AQ131" s="33"/>
      <c r="AR131" s="31"/>
      <c r="AS131" s="33"/>
      <c r="AT131" s="25"/>
      <c r="AU131" s="72"/>
      <c r="AV131" s="95"/>
      <c r="AW131" s="41"/>
      <c r="AX131" s="95"/>
      <c r="AY131" s="95"/>
      <c r="AZ131" s="95"/>
      <c r="BA131" s="95"/>
      <c r="BB131" s="95"/>
      <c r="BC131" s="95"/>
      <c r="BD131" s="95"/>
      <c r="BE131" s="31"/>
      <c r="BF131" s="95"/>
      <c r="BG131" s="95"/>
      <c r="BH131" s="95"/>
      <c r="BI131" s="95"/>
      <c r="BJ131" s="25"/>
      <c r="BK131" s="156">
        <v>29.88</v>
      </c>
      <c r="BL131" s="45" t="s">
        <v>428</v>
      </c>
      <c r="BM131" s="45" t="s">
        <v>429</v>
      </c>
      <c r="BN131" s="36"/>
      <c r="BO131" s="36"/>
      <c r="BP131" s="36"/>
      <c r="BQ131" s="93">
        <v>2.56</v>
      </c>
      <c r="BR131" s="93">
        <v>6.59</v>
      </c>
      <c r="BS131" s="165"/>
      <c r="BT131" s="166">
        <f>2.87+0.018+0.018</f>
        <v>2.9059999999999997</v>
      </c>
      <c r="BU131" s="167">
        <f>2.87+0.018+0.018</f>
        <v>2.9059999999999997</v>
      </c>
      <c r="BV131" s="167">
        <f>6.62+(4*0.018)</f>
        <v>6.6920000000000002</v>
      </c>
      <c r="BW131" s="168">
        <f t="shared" si="26"/>
        <v>3.2704191268518513E-2</v>
      </c>
      <c r="BX131" s="169">
        <f>0.08+0.5</f>
        <v>0.57999999999999996</v>
      </c>
      <c r="BY131" s="157">
        <v>13.5</v>
      </c>
      <c r="BZ131" s="157">
        <v>9.25</v>
      </c>
      <c r="CA131" s="157">
        <v>7.25</v>
      </c>
      <c r="CB131" s="47">
        <f t="shared" si="29"/>
        <v>0.52392578125</v>
      </c>
      <c r="CC131" s="152">
        <v>0.56999999999999995</v>
      </c>
      <c r="CD131" s="152"/>
      <c r="CE131" s="152"/>
      <c r="CF131" s="24" t="s">
        <v>135</v>
      </c>
      <c r="CG131" s="24">
        <v>12</v>
      </c>
      <c r="CH131" s="24">
        <v>13</v>
      </c>
      <c r="CI131" s="24">
        <v>6</v>
      </c>
      <c r="CJ131" s="154">
        <f t="shared" si="25"/>
        <v>936</v>
      </c>
      <c r="CK131" s="27">
        <f>((((BS131+BX131)*CG131)+CB131)*CH131*CI131)+50</f>
        <v>633.74621093749988</v>
      </c>
      <c r="CL131" s="27" t="s">
        <v>367</v>
      </c>
      <c r="CM131" s="89" t="s">
        <v>151</v>
      </c>
      <c r="CN131" s="35"/>
      <c r="CO131" s="35"/>
    </row>
    <row r="132" spans="1:95" s="1" customFormat="1" ht="30" x14ac:dyDescent="0.25">
      <c r="A132" s="146">
        <v>42341</v>
      </c>
      <c r="B132" s="75" t="s">
        <v>12</v>
      </c>
      <c r="C132" s="75" t="s">
        <v>430</v>
      </c>
      <c r="D132" s="95" t="s">
        <v>54</v>
      </c>
      <c r="E132" s="101" t="s">
        <v>59</v>
      </c>
      <c r="F132" s="155" t="s">
        <v>431</v>
      </c>
      <c r="G132" s="155"/>
      <c r="H132" s="155"/>
      <c r="I132" s="155"/>
      <c r="J132" s="75" t="s">
        <v>108</v>
      </c>
      <c r="K132" s="31">
        <v>19256348</v>
      </c>
      <c r="L132" s="95"/>
      <c r="M132" s="95"/>
      <c r="N132" s="25"/>
      <c r="O132" s="26"/>
      <c r="P132" s="26"/>
      <c r="Q132" s="26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25" t="s">
        <v>432</v>
      </c>
      <c r="AO132" s="33"/>
      <c r="AP132" s="25"/>
      <c r="AQ132" s="33"/>
      <c r="AR132" s="31"/>
      <c r="AS132" s="33"/>
      <c r="AT132" s="25"/>
      <c r="AU132" s="75" t="s">
        <v>433</v>
      </c>
      <c r="AV132" s="95"/>
      <c r="AW132" s="41"/>
      <c r="AX132" s="95"/>
      <c r="AY132" s="95"/>
      <c r="AZ132" s="95"/>
      <c r="BA132" s="95"/>
      <c r="BB132" s="95"/>
      <c r="BC132" s="95"/>
      <c r="BD132" s="95"/>
      <c r="BE132" s="31" t="s">
        <v>434</v>
      </c>
      <c r="BF132" s="95"/>
      <c r="BG132" s="95" t="s">
        <v>435</v>
      </c>
      <c r="BH132" s="95"/>
      <c r="BI132" s="95" t="s">
        <v>435</v>
      </c>
      <c r="BJ132" s="25">
        <v>33837</v>
      </c>
      <c r="BK132" s="76">
        <v>173.32</v>
      </c>
      <c r="BL132" s="45" t="s">
        <v>436</v>
      </c>
      <c r="BM132" s="45" t="s">
        <v>437</v>
      </c>
      <c r="BN132" s="36"/>
      <c r="BO132" s="36"/>
      <c r="BP132" s="36"/>
      <c r="BQ132" s="134">
        <v>4.0199999999999996</v>
      </c>
      <c r="BR132" s="134">
        <v>6.44</v>
      </c>
      <c r="BS132" s="77">
        <v>1.28</v>
      </c>
      <c r="BT132" s="74">
        <f>4.43+0.018+0.018</f>
        <v>4.4659999999999993</v>
      </c>
      <c r="BU132" s="74">
        <f>4.43+0.018+0.018</f>
        <v>4.4659999999999993</v>
      </c>
      <c r="BV132" s="74">
        <f>10.37+0.018+0.018+0.018+0.018</f>
        <v>10.442000000000002</v>
      </c>
      <c r="BW132" s="92">
        <f t="shared" si="26"/>
        <v>0.12052506883796293</v>
      </c>
      <c r="BX132" s="78">
        <v>0.27</v>
      </c>
      <c r="BY132" s="94">
        <v>14.5</v>
      </c>
      <c r="BZ132" s="94">
        <f>9.37+0.25</f>
        <v>9.6199999999999992</v>
      </c>
      <c r="CA132" s="94">
        <v>11.56</v>
      </c>
      <c r="CB132" s="92">
        <f t="shared" si="29"/>
        <v>0.93316226851851858</v>
      </c>
      <c r="CC132" s="121">
        <v>1.24</v>
      </c>
      <c r="CD132" s="121"/>
      <c r="CE132" s="121"/>
      <c r="CF132" s="43" t="s">
        <v>135</v>
      </c>
      <c r="CG132" s="74">
        <v>6</v>
      </c>
      <c r="CH132" s="74">
        <v>12</v>
      </c>
      <c r="CI132" s="74">
        <v>3</v>
      </c>
      <c r="CJ132" s="27">
        <f t="shared" si="25"/>
        <v>216</v>
      </c>
      <c r="CK132" s="27">
        <f>((BS132+BX132+CC132)*CH132*CI132)+50</f>
        <v>150.44</v>
      </c>
      <c r="CL132" s="74" t="s">
        <v>257</v>
      </c>
      <c r="CM132" s="27" t="s">
        <v>137</v>
      </c>
      <c r="CN132" s="27" t="s">
        <v>137</v>
      </c>
      <c r="CO132" s="35"/>
    </row>
    <row r="133" spans="1:95" s="1" customFormat="1" ht="60" customHeight="1" x14ac:dyDescent="0.25">
      <c r="A133" s="146">
        <v>42264</v>
      </c>
      <c r="B133" s="95" t="s">
        <v>12</v>
      </c>
      <c r="C133" s="31" t="s">
        <v>438</v>
      </c>
      <c r="D133" s="95" t="s">
        <v>106</v>
      </c>
      <c r="E133" s="170" t="s">
        <v>439</v>
      </c>
      <c r="F133" s="95" t="s">
        <v>440</v>
      </c>
      <c r="G133" s="132"/>
      <c r="H133" s="132"/>
      <c r="I133" s="132"/>
      <c r="J133" s="132" t="s">
        <v>169</v>
      </c>
      <c r="K133" s="95" t="s">
        <v>441</v>
      </c>
      <c r="L133" s="95"/>
      <c r="M133" s="95"/>
      <c r="N133" s="25"/>
      <c r="O133" s="26"/>
      <c r="P133" s="26"/>
      <c r="Q133" s="26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25"/>
      <c r="AO133" s="33"/>
      <c r="AP133" s="25"/>
      <c r="AQ133" s="33"/>
      <c r="AR133" s="31"/>
      <c r="AS133" s="33"/>
      <c r="AT133" s="25"/>
      <c r="AU133" s="41" t="s">
        <v>442</v>
      </c>
      <c r="AV133" s="95"/>
      <c r="AW133" s="41"/>
      <c r="AX133" s="95" t="s">
        <v>443</v>
      </c>
      <c r="AY133" s="95"/>
      <c r="AZ133" s="95"/>
      <c r="BA133" s="95"/>
      <c r="BB133" s="95"/>
      <c r="BC133" s="95"/>
      <c r="BD133" s="95"/>
      <c r="BE133" s="31"/>
      <c r="BF133" s="95" t="s">
        <v>444</v>
      </c>
      <c r="BG133" s="95" t="s">
        <v>445</v>
      </c>
      <c r="BH133" s="95"/>
      <c r="BI133" s="95" t="s">
        <v>445</v>
      </c>
      <c r="BJ133" s="25"/>
      <c r="BK133" s="171">
        <v>69.95</v>
      </c>
      <c r="BL133" s="172" t="s">
        <v>446</v>
      </c>
      <c r="BM133" s="173">
        <v>10038568742459</v>
      </c>
      <c r="BN133" s="165">
        <v>12.42</v>
      </c>
      <c r="BO133" s="165">
        <v>13.27</v>
      </c>
      <c r="BP133" s="165">
        <v>1.34</v>
      </c>
      <c r="BQ133" s="149"/>
      <c r="BR133" s="149"/>
      <c r="BS133" s="149"/>
      <c r="BT133" s="151">
        <f>13.31+(0.018*2)</f>
        <v>13.346</v>
      </c>
      <c r="BU133" s="151">
        <f>2.87+(0.018*2)</f>
        <v>2.9060000000000001</v>
      </c>
      <c r="BV133" s="151">
        <f>13.31+(0.018*4)</f>
        <v>13.382</v>
      </c>
      <c r="BW133" s="47">
        <f t="shared" si="26"/>
        <v>0.30034749758796297</v>
      </c>
      <c r="BX133" s="174">
        <f>0.908+0.1</f>
        <v>1.008</v>
      </c>
      <c r="BY133" s="175">
        <f>14.25+(0.125*2)</f>
        <v>14.5</v>
      </c>
      <c r="BZ133" s="175">
        <f>13.5+(0.125*2)</f>
        <v>13.75</v>
      </c>
      <c r="CA133" s="175">
        <f>9+(0.125*4)</f>
        <v>9.5</v>
      </c>
      <c r="CB133" s="47">
        <f>(CA133*BZ133*BY133)/1728</f>
        <v>1.0961009837962963</v>
      </c>
      <c r="CC133" s="174">
        <f>(BX133*3)+0.25</f>
        <v>3.274</v>
      </c>
      <c r="CD133" s="174"/>
      <c r="CE133" s="174"/>
      <c r="CF133" s="95" t="s">
        <v>164</v>
      </c>
      <c r="CG133" s="95">
        <v>3</v>
      </c>
      <c r="CH133" s="95">
        <v>6</v>
      </c>
      <c r="CI133" s="95">
        <v>4</v>
      </c>
      <c r="CJ133" s="154">
        <f t="shared" si="25"/>
        <v>72</v>
      </c>
      <c r="CK133" s="154">
        <f>(CC133*CH133*CI133)+50</f>
        <v>128.57599999999999</v>
      </c>
      <c r="CL133" s="95" t="s">
        <v>322</v>
      </c>
      <c r="CM133" s="154" t="s">
        <v>137</v>
      </c>
      <c r="CN133" s="71"/>
      <c r="CO133" s="71"/>
    </row>
    <row r="134" spans="1:95" s="1" customFormat="1" ht="60" customHeight="1" x14ac:dyDescent="0.25">
      <c r="A134" s="146">
        <v>42264</v>
      </c>
      <c r="B134" s="95" t="s">
        <v>12</v>
      </c>
      <c r="C134" s="31" t="s">
        <v>447</v>
      </c>
      <c r="D134" s="95" t="s">
        <v>54</v>
      </c>
      <c r="E134" s="176" t="s">
        <v>448</v>
      </c>
      <c r="F134" s="176" t="s">
        <v>449</v>
      </c>
      <c r="G134" s="447"/>
      <c r="H134" s="447"/>
      <c r="I134" s="447"/>
      <c r="J134" s="132"/>
      <c r="K134" s="46"/>
      <c r="L134" s="95"/>
      <c r="M134" s="95"/>
      <c r="N134" s="25"/>
      <c r="O134" s="26"/>
      <c r="P134" s="26"/>
      <c r="Q134" s="26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25" t="s">
        <v>450</v>
      </c>
      <c r="AO134" s="33"/>
      <c r="AP134" s="25"/>
      <c r="AQ134" s="33"/>
      <c r="AR134" s="31"/>
      <c r="AS134" s="33"/>
      <c r="AT134" s="25" t="s">
        <v>451</v>
      </c>
      <c r="AU134" s="41"/>
      <c r="AV134" s="95"/>
      <c r="AW134" s="41"/>
      <c r="AX134" s="95"/>
      <c r="AY134" s="95"/>
      <c r="AZ134" s="95"/>
      <c r="BA134" s="95"/>
      <c r="BB134" s="95"/>
      <c r="BC134" s="95"/>
      <c r="BD134" s="95"/>
      <c r="BE134" s="31"/>
      <c r="BF134" s="95"/>
      <c r="BG134" s="95"/>
      <c r="BH134" s="95"/>
      <c r="BI134" s="95"/>
      <c r="BJ134" s="25" t="s">
        <v>452</v>
      </c>
      <c r="BK134" s="171">
        <v>69.989999999999995</v>
      </c>
      <c r="BL134" s="172" t="s">
        <v>453</v>
      </c>
      <c r="BM134" s="173">
        <v>10038568739817</v>
      </c>
      <c r="BN134" s="149"/>
      <c r="BO134" s="149"/>
      <c r="BP134" s="149"/>
      <c r="BQ134" s="149"/>
      <c r="BR134" s="149"/>
      <c r="BS134" s="149"/>
      <c r="BT134" s="151">
        <f>3.81+(0.125*2)</f>
        <v>4.0600000000000005</v>
      </c>
      <c r="BU134" s="151">
        <f>3.81+(0.125*2)</f>
        <v>4.0600000000000005</v>
      </c>
      <c r="BV134" s="151">
        <f>5.37+(0.125*4)</f>
        <v>5.87</v>
      </c>
      <c r="BW134" s="47">
        <f t="shared" si="26"/>
        <v>5.5994636574074087E-2</v>
      </c>
      <c r="BX134" s="174">
        <f>1.5+0.25</f>
        <v>1.75</v>
      </c>
      <c r="BY134" s="484" t="s">
        <v>356</v>
      </c>
      <c r="BZ134" s="485"/>
      <c r="CA134" s="485"/>
      <c r="CB134" s="485"/>
      <c r="CC134" s="486"/>
      <c r="CD134" s="299"/>
      <c r="CE134" s="299"/>
      <c r="CF134" s="95" t="s">
        <v>164</v>
      </c>
      <c r="CG134" s="95">
        <v>1</v>
      </c>
      <c r="CH134" s="95">
        <v>99</v>
      </c>
      <c r="CI134" s="95">
        <v>6</v>
      </c>
      <c r="CJ134" s="154">
        <f t="shared" si="25"/>
        <v>594</v>
      </c>
      <c r="CK134" s="154">
        <f>(BX134*CJ134)+50</f>
        <v>1089.5</v>
      </c>
      <c r="CL134" s="95" t="s">
        <v>140</v>
      </c>
      <c r="CM134" s="154" t="s">
        <v>137</v>
      </c>
      <c r="CN134" s="71"/>
      <c r="CO134" s="71"/>
    </row>
    <row r="135" spans="1:95" s="1" customFormat="1" x14ac:dyDescent="0.25">
      <c r="A135" s="146">
        <v>42264</v>
      </c>
      <c r="B135" s="95" t="s">
        <v>12</v>
      </c>
      <c r="C135" s="31" t="s">
        <v>454</v>
      </c>
      <c r="D135" s="95" t="s">
        <v>106</v>
      </c>
      <c r="E135" s="170" t="s">
        <v>455</v>
      </c>
      <c r="F135" s="95" t="s">
        <v>456</v>
      </c>
      <c r="G135" s="132"/>
      <c r="H135" s="132"/>
      <c r="I135" s="132"/>
      <c r="J135" s="132" t="s">
        <v>334</v>
      </c>
      <c r="K135" s="95" t="s">
        <v>457</v>
      </c>
      <c r="L135" s="95"/>
      <c r="M135" s="95"/>
      <c r="N135" s="25"/>
      <c r="O135" s="26"/>
      <c r="P135" s="26"/>
      <c r="Q135" s="26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25" t="s">
        <v>458</v>
      </c>
      <c r="AO135" s="33"/>
      <c r="AP135" s="25"/>
      <c r="AQ135" s="33"/>
      <c r="AR135" s="31"/>
      <c r="AS135" s="33"/>
      <c r="AT135" s="25"/>
      <c r="AU135" s="25"/>
      <c r="AV135" s="95"/>
      <c r="AW135" s="41"/>
      <c r="AX135" s="95"/>
      <c r="AY135" s="95"/>
      <c r="AZ135" s="95"/>
      <c r="BA135" s="95"/>
      <c r="BB135" s="95"/>
      <c r="BC135" s="95"/>
      <c r="BD135" s="95"/>
      <c r="BE135" s="31"/>
      <c r="BF135" s="95"/>
      <c r="BG135" s="95"/>
      <c r="BH135" s="95"/>
      <c r="BI135" s="95"/>
      <c r="BJ135" s="25"/>
      <c r="BK135" s="171">
        <v>18.97</v>
      </c>
      <c r="BL135" s="172" t="s">
        <v>459</v>
      </c>
      <c r="BM135" s="173">
        <v>10038568743234</v>
      </c>
      <c r="BN135" s="165">
        <v>5.98</v>
      </c>
      <c r="BO135" s="165">
        <v>2.91</v>
      </c>
      <c r="BP135" s="165">
        <v>0.79</v>
      </c>
      <c r="BQ135" s="149"/>
      <c r="BR135" s="149"/>
      <c r="BS135" s="149"/>
      <c r="BT135" s="151">
        <f>3.15+(0.018*2)</f>
        <v>3.1859999999999999</v>
      </c>
      <c r="BU135" s="151">
        <f>3.15+(0.018*2)</f>
        <v>3.1859999999999999</v>
      </c>
      <c r="BV135" s="151">
        <f>6+(0.018*4)</f>
        <v>6.0720000000000001</v>
      </c>
      <c r="BW135" s="47">
        <f t="shared" si="26"/>
        <v>3.5668066499999998E-2</v>
      </c>
      <c r="BX135" s="174">
        <f>0.07+0.1</f>
        <v>0.17</v>
      </c>
      <c r="BY135" s="177">
        <f>9.75+(0.125*2)</f>
        <v>10</v>
      </c>
      <c r="BZ135" s="178">
        <f>6.5+(0.125*2)</f>
        <v>6.75</v>
      </c>
      <c r="CA135" s="178">
        <f>6.12+(0.125*4)</f>
        <v>6.62</v>
      </c>
      <c r="CB135" s="168">
        <f t="shared" ref="CB135:CB146" si="32">(CA135*BZ135*BY135)/1728</f>
        <v>0.25859375000000001</v>
      </c>
      <c r="CC135" s="179">
        <f t="shared" ref="CC135:CC142" si="33">(BX135*6)+0.25</f>
        <v>1.27</v>
      </c>
      <c r="CD135" s="179"/>
      <c r="CE135" s="179"/>
      <c r="CF135" s="95" t="s">
        <v>164</v>
      </c>
      <c r="CG135" s="95">
        <v>6</v>
      </c>
      <c r="CH135" s="95">
        <v>26</v>
      </c>
      <c r="CI135" s="95">
        <v>6</v>
      </c>
      <c r="CJ135" s="154">
        <f t="shared" si="25"/>
        <v>936</v>
      </c>
      <c r="CK135" s="154">
        <f t="shared" ref="CK135:CK141" si="34">(CC135*CH135*CI135)+50</f>
        <v>248.12</v>
      </c>
      <c r="CL135" s="95" t="s">
        <v>140</v>
      </c>
      <c r="CM135" s="154" t="s">
        <v>137</v>
      </c>
      <c r="CN135" s="71"/>
      <c r="CO135" s="35"/>
      <c r="CP135" s="71"/>
      <c r="CQ135" s="71"/>
    </row>
    <row r="136" spans="1:95" s="1" customFormat="1" x14ac:dyDescent="0.25">
      <c r="A136" s="146">
        <v>42264</v>
      </c>
      <c r="B136" s="95" t="s">
        <v>12</v>
      </c>
      <c r="C136" s="31" t="s">
        <v>460</v>
      </c>
      <c r="D136" s="95" t="s">
        <v>106</v>
      </c>
      <c r="E136" s="170" t="s">
        <v>455</v>
      </c>
      <c r="F136" s="95" t="s">
        <v>461</v>
      </c>
      <c r="G136" s="132"/>
      <c r="H136" s="132"/>
      <c r="I136" s="132"/>
      <c r="J136" s="132" t="s">
        <v>125</v>
      </c>
      <c r="K136" s="132">
        <v>64319159606</v>
      </c>
      <c r="L136" s="95"/>
      <c r="M136" s="95"/>
      <c r="N136" s="25"/>
      <c r="O136" s="26"/>
      <c r="P136" s="26"/>
      <c r="Q136" s="26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25"/>
      <c r="AO136" s="33"/>
      <c r="AP136" s="25"/>
      <c r="AQ136" s="33"/>
      <c r="AR136" s="31"/>
      <c r="AS136" s="33"/>
      <c r="AT136" s="25"/>
      <c r="AU136" s="41"/>
      <c r="AV136" s="95"/>
      <c r="AW136" s="41"/>
      <c r="AX136" s="95"/>
      <c r="AY136" s="95"/>
      <c r="AZ136" s="95"/>
      <c r="BA136" s="95"/>
      <c r="BB136" s="95"/>
      <c r="BC136" s="95"/>
      <c r="BD136" s="95"/>
      <c r="BE136" s="31"/>
      <c r="BF136" s="95"/>
      <c r="BG136" s="95"/>
      <c r="BH136" s="95"/>
      <c r="BI136" s="95"/>
      <c r="BJ136" s="25"/>
      <c r="BK136" s="171">
        <v>74.28</v>
      </c>
      <c r="BL136" s="172" t="s">
        <v>462</v>
      </c>
      <c r="BM136" s="173">
        <v>10038568743456</v>
      </c>
      <c r="BN136" s="165">
        <v>8.6199999999999992</v>
      </c>
      <c r="BO136" s="165">
        <v>3.76</v>
      </c>
      <c r="BP136" s="165">
        <v>0.87</v>
      </c>
      <c r="BQ136" s="149"/>
      <c r="BR136" s="149"/>
      <c r="BS136" s="149"/>
      <c r="BT136" s="151">
        <f>5.59+(0.018*2)</f>
        <v>5.6259999999999994</v>
      </c>
      <c r="BU136" s="151">
        <f>2+(0.018*2)</f>
        <v>2.036</v>
      </c>
      <c r="BV136" s="151">
        <f>9.62+(0.018*4)</f>
        <v>9.6919999999999984</v>
      </c>
      <c r="BW136" s="47">
        <f t="shared" si="26"/>
        <v>6.424615909259257E-2</v>
      </c>
      <c r="BX136" s="174">
        <f>0.56+0.1</f>
        <v>0.66</v>
      </c>
      <c r="BY136" s="175">
        <f>13+(0.125*2)</f>
        <v>13.25</v>
      </c>
      <c r="BZ136" s="175">
        <f>9.75+(0.125*2)</f>
        <v>10</v>
      </c>
      <c r="CA136" s="175">
        <f>5.75+(0.125*4)</f>
        <v>6.25</v>
      </c>
      <c r="CB136" s="47">
        <f t="shared" si="32"/>
        <v>0.47923900462962965</v>
      </c>
      <c r="CC136" s="174">
        <f t="shared" si="33"/>
        <v>4.21</v>
      </c>
      <c r="CD136" s="174"/>
      <c r="CE136" s="174"/>
      <c r="CF136" s="95" t="s">
        <v>164</v>
      </c>
      <c r="CG136" s="95">
        <v>6</v>
      </c>
      <c r="CH136" s="95">
        <v>14</v>
      </c>
      <c r="CI136" s="95">
        <v>7</v>
      </c>
      <c r="CJ136" s="154">
        <f t="shared" si="25"/>
        <v>588</v>
      </c>
      <c r="CK136" s="154">
        <f t="shared" si="34"/>
        <v>462.58</v>
      </c>
      <c r="CL136" s="95" t="s">
        <v>140</v>
      </c>
      <c r="CM136" s="154" t="s">
        <v>137</v>
      </c>
      <c r="CN136" s="71"/>
      <c r="CO136" s="71"/>
    </row>
    <row r="137" spans="1:95" s="1" customFormat="1" ht="30" x14ac:dyDescent="0.25">
      <c r="A137" s="146">
        <v>42264</v>
      </c>
      <c r="B137" s="95" t="s">
        <v>12</v>
      </c>
      <c r="C137" s="31" t="s">
        <v>463</v>
      </c>
      <c r="D137" s="95" t="s">
        <v>106</v>
      </c>
      <c r="E137" s="170" t="s">
        <v>455</v>
      </c>
      <c r="F137" s="180" t="s">
        <v>464</v>
      </c>
      <c r="G137" s="448"/>
      <c r="H137" s="448"/>
      <c r="I137" s="448"/>
      <c r="J137" s="132" t="s">
        <v>465</v>
      </c>
      <c r="K137" s="95">
        <v>1648300218</v>
      </c>
      <c r="L137" s="95"/>
      <c r="M137" s="95"/>
      <c r="N137" s="25"/>
      <c r="O137" s="26"/>
      <c r="P137" s="26"/>
      <c r="Q137" s="26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25"/>
      <c r="AO137" s="33"/>
      <c r="AP137" s="25"/>
      <c r="AQ137" s="33"/>
      <c r="AR137" s="31"/>
      <c r="AS137" s="33"/>
      <c r="AT137" s="25"/>
      <c r="AU137" s="41"/>
      <c r="AV137" s="95"/>
      <c r="AW137" s="41"/>
      <c r="AX137" s="95"/>
      <c r="AY137" s="95"/>
      <c r="AZ137" s="95"/>
      <c r="BA137" s="95"/>
      <c r="BB137" s="95"/>
      <c r="BC137" s="95"/>
      <c r="BD137" s="95"/>
      <c r="BE137" s="31"/>
      <c r="BF137" s="95"/>
      <c r="BG137" s="95"/>
      <c r="BH137" s="95"/>
      <c r="BI137" s="95"/>
      <c r="BJ137" s="25"/>
      <c r="BK137" s="171">
        <v>45.78</v>
      </c>
      <c r="BL137" s="172" t="s">
        <v>466</v>
      </c>
      <c r="BM137" s="173">
        <v>10038568743548</v>
      </c>
      <c r="BN137" s="165">
        <v>10</v>
      </c>
      <c r="BO137" s="165">
        <v>5.27</v>
      </c>
      <c r="BP137" s="165">
        <v>1.57</v>
      </c>
      <c r="BQ137" s="149"/>
      <c r="BR137" s="149"/>
      <c r="BS137" s="149"/>
      <c r="BT137" s="181">
        <f>10+(0.018*2)</f>
        <v>10.036</v>
      </c>
      <c r="BU137" s="182">
        <f>2+(0.018*2)</f>
        <v>2.036</v>
      </c>
      <c r="BV137" s="182">
        <f>11.75+(0.018*4)</f>
        <v>11.821999999999999</v>
      </c>
      <c r="BW137" s="168">
        <f t="shared" si="26"/>
        <v>0.13979307020370368</v>
      </c>
      <c r="BX137" s="179">
        <f>0.32+0.1</f>
        <v>0.42000000000000004</v>
      </c>
      <c r="BY137" s="175">
        <f>12.5+(0.125*2)</f>
        <v>12.75</v>
      </c>
      <c r="BZ137" s="175">
        <f>11.12+(0.125*2)</f>
        <v>11.37</v>
      </c>
      <c r="CA137" s="175">
        <f>12.5+(0.125*4)</f>
        <v>13</v>
      </c>
      <c r="CB137" s="47">
        <f t="shared" si="32"/>
        <v>1.0906119791666666</v>
      </c>
      <c r="CC137" s="174">
        <f t="shared" si="33"/>
        <v>2.7700000000000005</v>
      </c>
      <c r="CD137" s="174"/>
      <c r="CE137" s="174"/>
      <c r="CF137" s="95" t="s">
        <v>164</v>
      </c>
      <c r="CG137" s="95">
        <v>6</v>
      </c>
      <c r="CH137" s="95">
        <v>12</v>
      </c>
      <c r="CI137" s="95">
        <v>3</v>
      </c>
      <c r="CJ137" s="154">
        <f t="shared" si="25"/>
        <v>216</v>
      </c>
      <c r="CK137" s="154">
        <f t="shared" si="34"/>
        <v>149.72000000000003</v>
      </c>
      <c r="CL137" s="95" t="s">
        <v>140</v>
      </c>
      <c r="CM137" s="154" t="s">
        <v>137</v>
      </c>
      <c r="CN137" s="71"/>
      <c r="CO137" s="71"/>
    </row>
    <row r="138" spans="1:95" s="1" customFormat="1" x14ac:dyDescent="0.25">
      <c r="A138" s="146">
        <v>42264</v>
      </c>
      <c r="B138" s="95" t="s">
        <v>12</v>
      </c>
      <c r="C138" s="31" t="s">
        <v>467</v>
      </c>
      <c r="D138" s="95" t="s">
        <v>106</v>
      </c>
      <c r="E138" s="170" t="s">
        <v>455</v>
      </c>
      <c r="F138" s="95" t="s">
        <v>468</v>
      </c>
      <c r="G138" s="132"/>
      <c r="H138" s="132"/>
      <c r="I138" s="132"/>
      <c r="J138" s="132" t="s">
        <v>236</v>
      </c>
      <c r="K138" s="95" t="s">
        <v>469</v>
      </c>
      <c r="L138" s="95"/>
      <c r="M138" s="95"/>
      <c r="N138" s="25"/>
      <c r="O138" s="26"/>
      <c r="P138" s="26"/>
      <c r="Q138" s="26"/>
      <c r="R138" s="34"/>
      <c r="S138" s="34"/>
      <c r="T138" s="34"/>
      <c r="U138" s="34"/>
      <c r="V138" s="34"/>
      <c r="W138" s="34"/>
      <c r="X138" s="381"/>
      <c r="Y138" s="381"/>
      <c r="Z138" s="381"/>
      <c r="AA138" s="381"/>
      <c r="AB138" s="381"/>
      <c r="AC138" s="381"/>
      <c r="AD138" s="381"/>
      <c r="AE138" s="381"/>
      <c r="AF138" s="381"/>
      <c r="AG138" s="381"/>
      <c r="AH138" s="381"/>
      <c r="AI138" s="381"/>
      <c r="AJ138" s="381"/>
      <c r="AK138" s="381"/>
      <c r="AL138" s="381"/>
      <c r="AM138" s="381"/>
      <c r="AN138" s="159"/>
      <c r="AO138" s="33"/>
      <c r="AP138" s="25"/>
      <c r="AQ138" s="33"/>
      <c r="AR138" s="31"/>
      <c r="AS138" s="33"/>
      <c r="AT138" s="25"/>
      <c r="AU138" s="183"/>
      <c r="AV138" s="95"/>
      <c r="AW138" s="41"/>
      <c r="AX138" s="95"/>
      <c r="AY138" s="95"/>
      <c r="AZ138" s="95"/>
      <c r="BA138" s="95"/>
      <c r="BB138" s="95"/>
      <c r="BC138" s="95"/>
      <c r="BD138" s="95"/>
      <c r="BE138" s="31"/>
      <c r="BF138" s="95"/>
      <c r="BG138" s="95"/>
      <c r="BH138" s="95"/>
      <c r="BI138" s="95"/>
      <c r="BJ138" s="25"/>
      <c r="BK138" s="171">
        <v>27.95</v>
      </c>
      <c r="BL138" s="172" t="s">
        <v>470</v>
      </c>
      <c r="BM138" s="173">
        <v>10038568743203</v>
      </c>
      <c r="BN138" s="165">
        <v>6.57</v>
      </c>
      <c r="BO138" s="165">
        <v>6.38</v>
      </c>
      <c r="BP138" s="165">
        <v>0.79</v>
      </c>
      <c r="BQ138" s="149"/>
      <c r="BR138" s="149"/>
      <c r="BS138" s="149"/>
      <c r="BT138" s="151">
        <f>7.25+(0.018*2)</f>
        <v>7.2859999999999996</v>
      </c>
      <c r="BU138" s="151">
        <f>1.68+(0.018*2)</f>
        <v>1.716</v>
      </c>
      <c r="BV138" s="151">
        <f>8+(0.018*4)</f>
        <v>8.0719999999999992</v>
      </c>
      <c r="BW138" s="47">
        <f t="shared" si="26"/>
        <v>5.8404171222222211E-2</v>
      </c>
      <c r="BX138" s="174">
        <f>0.15+0.1</f>
        <v>0.25</v>
      </c>
      <c r="BY138" s="175">
        <f>10.75+(0.125*2)</f>
        <v>11</v>
      </c>
      <c r="BZ138" s="175">
        <f>7.75+(0.125*2)</f>
        <v>8</v>
      </c>
      <c r="CA138" s="175">
        <f>8.12+(0.125*4)</f>
        <v>8.6199999999999992</v>
      </c>
      <c r="CB138" s="47">
        <f t="shared" si="32"/>
        <v>0.43898148148148147</v>
      </c>
      <c r="CC138" s="174">
        <f t="shared" si="33"/>
        <v>1.75</v>
      </c>
      <c r="CD138" s="174"/>
      <c r="CE138" s="174"/>
      <c r="CF138" s="95" t="s">
        <v>164</v>
      </c>
      <c r="CG138" s="95">
        <v>6</v>
      </c>
      <c r="CH138" s="95">
        <v>20</v>
      </c>
      <c r="CI138" s="95">
        <v>5</v>
      </c>
      <c r="CJ138" s="154">
        <f t="shared" si="25"/>
        <v>600</v>
      </c>
      <c r="CK138" s="154">
        <f t="shared" si="34"/>
        <v>225</v>
      </c>
      <c r="CL138" s="95" t="s">
        <v>140</v>
      </c>
      <c r="CM138" s="154" t="s">
        <v>137</v>
      </c>
      <c r="CN138" s="71"/>
      <c r="CO138" s="71"/>
    </row>
    <row r="139" spans="1:95" s="1" customFormat="1" x14ac:dyDescent="0.25">
      <c r="A139" s="146">
        <v>42264</v>
      </c>
      <c r="B139" s="95" t="s">
        <v>12</v>
      </c>
      <c r="C139" s="31" t="s">
        <v>398</v>
      </c>
      <c r="D139" s="95" t="s">
        <v>106</v>
      </c>
      <c r="E139" s="170" t="s">
        <v>455</v>
      </c>
      <c r="F139" s="95" t="s">
        <v>471</v>
      </c>
      <c r="G139" s="132"/>
      <c r="H139" s="132"/>
      <c r="I139" s="132"/>
      <c r="J139" s="132" t="s">
        <v>472</v>
      </c>
      <c r="K139" s="95" t="s">
        <v>401</v>
      </c>
      <c r="L139" s="95"/>
      <c r="M139" s="95"/>
      <c r="N139" s="25"/>
      <c r="O139" s="26"/>
      <c r="P139" s="26"/>
      <c r="Q139" s="26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25"/>
      <c r="AO139" s="33"/>
      <c r="AP139" s="25"/>
      <c r="AQ139" s="33"/>
      <c r="AR139" s="31"/>
      <c r="AS139" s="33"/>
      <c r="AT139" s="25"/>
      <c r="AU139" s="41"/>
      <c r="AV139" s="95"/>
      <c r="AW139" s="41"/>
      <c r="AX139" s="95"/>
      <c r="AY139" s="95"/>
      <c r="AZ139" s="95"/>
      <c r="BA139" s="95"/>
      <c r="BB139" s="95"/>
      <c r="BC139" s="95"/>
      <c r="BD139" s="95"/>
      <c r="BE139" s="31"/>
      <c r="BF139" s="95"/>
      <c r="BG139" s="95"/>
      <c r="BH139" s="95"/>
      <c r="BI139" s="95"/>
      <c r="BJ139" s="95" t="s">
        <v>402</v>
      </c>
      <c r="BK139" s="171">
        <v>41.96</v>
      </c>
      <c r="BL139" s="172" t="s">
        <v>403</v>
      </c>
      <c r="BM139" s="173">
        <v>10038568743296</v>
      </c>
      <c r="BN139" s="165">
        <v>10.75</v>
      </c>
      <c r="BO139" s="165">
        <v>7.76</v>
      </c>
      <c r="BP139" s="165">
        <v>0.4</v>
      </c>
      <c r="BQ139" s="149"/>
      <c r="BR139" s="149"/>
      <c r="BS139" s="149"/>
      <c r="BT139" s="151">
        <f>8.281+(0.018*2)</f>
        <v>8.3170000000000002</v>
      </c>
      <c r="BU139" s="151">
        <f>1.375+(0.018*2)</f>
        <v>1.411</v>
      </c>
      <c r="BV139" s="151">
        <f>8.11+(0.018*4)</f>
        <v>8.1819999999999986</v>
      </c>
      <c r="BW139" s="47">
        <f t="shared" si="26"/>
        <v>5.5566040644675928E-2</v>
      </c>
      <c r="BX139" s="174">
        <f>0.27+0.1</f>
        <v>0.37</v>
      </c>
      <c r="BY139" s="175">
        <f>11.62+(0.125*2)</f>
        <v>11.87</v>
      </c>
      <c r="BZ139" s="175">
        <f>8.75+(0.125*2)</f>
        <v>9</v>
      </c>
      <c r="CA139" s="175">
        <f>8.5+(0.125*4)</f>
        <v>9</v>
      </c>
      <c r="CB139" s="47">
        <f t="shared" si="32"/>
        <v>0.55640624999999999</v>
      </c>
      <c r="CC139" s="174">
        <f t="shared" si="33"/>
        <v>2.4699999999999998</v>
      </c>
      <c r="CD139" s="174"/>
      <c r="CE139" s="174"/>
      <c r="CF139" s="95" t="s">
        <v>164</v>
      </c>
      <c r="CG139" s="95">
        <v>6</v>
      </c>
      <c r="CH139" s="95">
        <v>17</v>
      </c>
      <c r="CI139" s="95">
        <v>5</v>
      </c>
      <c r="CJ139" s="154">
        <f t="shared" si="25"/>
        <v>510</v>
      </c>
      <c r="CK139" s="154">
        <f t="shared" si="34"/>
        <v>259.95</v>
      </c>
      <c r="CL139" s="95" t="s">
        <v>140</v>
      </c>
      <c r="CM139" s="154" t="s">
        <v>137</v>
      </c>
      <c r="CN139" s="35"/>
      <c r="CO139" s="35"/>
    </row>
    <row r="140" spans="1:95" s="1" customFormat="1" ht="30" x14ac:dyDescent="0.25">
      <c r="A140" s="146">
        <v>42264</v>
      </c>
      <c r="B140" s="95" t="s">
        <v>12</v>
      </c>
      <c r="C140" s="31" t="s">
        <v>473</v>
      </c>
      <c r="D140" s="95" t="s">
        <v>106</v>
      </c>
      <c r="E140" s="170" t="s">
        <v>455</v>
      </c>
      <c r="F140" s="180" t="s">
        <v>474</v>
      </c>
      <c r="G140" s="448"/>
      <c r="H140" s="448"/>
      <c r="I140" s="448"/>
      <c r="J140" s="132" t="s">
        <v>334</v>
      </c>
      <c r="K140" s="95" t="s">
        <v>475</v>
      </c>
      <c r="L140" s="95"/>
      <c r="M140" s="95"/>
      <c r="N140" s="25"/>
      <c r="O140" s="26"/>
      <c r="P140" s="26"/>
      <c r="Q140" s="26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25"/>
      <c r="AO140" s="33"/>
      <c r="AP140" s="25"/>
      <c r="AQ140" s="33"/>
      <c r="AR140" s="31"/>
      <c r="AS140" s="33"/>
      <c r="AT140" s="25"/>
      <c r="AU140" s="25" t="s">
        <v>476</v>
      </c>
      <c r="AV140" s="95"/>
      <c r="AW140" s="41"/>
      <c r="AX140" s="95"/>
      <c r="AY140" s="95"/>
      <c r="AZ140" s="95"/>
      <c r="BA140" s="95"/>
      <c r="BB140" s="95" t="s">
        <v>473</v>
      </c>
      <c r="BC140" s="95"/>
      <c r="BD140" s="95"/>
      <c r="BE140" s="31" t="s">
        <v>477</v>
      </c>
      <c r="BF140" s="95"/>
      <c r="BG140" s="95" t="s">
        <v>477</v>
      </c>
      <c r="BH140" s="95"/>
      <c r="BI140" s="95" t="s">
        <v>478</v>
      </c>
      <c r="BJ140" s="95">
        <v>24048</v>
      </c>
      <c r="BK140" s="171">
        <v>25.95</v>
      </c>
      <c r="BL140" s="172" t="s">
        <v>479</v>
      </c>
      <c r="BM140" s="173">
        <v>10038568743555</v>
      </c>
      <c r="BN140" s="165">
        <v>10.94</v>
      </c>
      <c r="BO140" s="165">
        <v>7.83</v>
      </c>
      <c r="BP140" s="165">
        <v>1.18</v>
      </c>
      <c r="BQ140" s="149"/>
      <c r="BR140" s="149"/>
      <c r="BS140" s="149"/>
      <c r="BT140" s="151">
        <f>8.298+(0.018*2)</f>
        <v>8.3339999999999996</v>
      </c>
      <c r="BU140" s="151">
        <f>1.375+(0.018*2)</f>
        <v>1.411</v>
      </c>
      <c r="BV140" s="151">
        <f>8.11+(0.018*4)</f>
        <v>8.1819999999999986</v>
      </c>
      <c r="BW140" s="47">
        <f t="shared" si="26"/>
        <v>5.5679617979166658E-2</v>
      </c>
      <c r="BX140" s="174">
        <f>0.45+0.1</f>
        <v>0.55000000000000004</v>
      </c>
      <c r="BY140" s="175">
        <f>11.62+(0.125*2)</f>
        <v>11.87</v>
      </c>
      <c r="BZ140" s="175">
        <f>8.75+(0.125*2)</f>
        <v>9</v>
      </c>
      <c r="CA140" s="175">
        <f>8.5+(0.125*4)</f>
        <v>9</v>
      </c>
      <c r="CB140" s="47">
        <f t="shared" si="32"/>
        <v>0.55640624999999999</v>
      </c>
      <c r="CC140" s="174">
        <f t="shared" si="33"/>
        <v>3.5500000000000003</v>
      </c>
      <c r="CD140" s="174"/>
      <c r="CE140" s="174"/>
      <c r="CF140" s="95" t="s">
        <v>164</v>
      </c>
      <c r="CG140" s="95">
        <v>6</v>
      </c>
      <c r="CH140" s="95">
        <v>17</v>
      </c>
      <c r="CI140" s="95">
        <v>5</v>
      </c>
      <c r="CJ140" s="154">
        <f t="shared" si="25"/>
        <v>510</v>
      </c>
      <c r="CK140" s="154">
        <f t="shared" si="34"/>
        <v>351.75</v>
      </c>
      <c r="CL140" s="95" t="s">
        <v>140</v>
      </c>
      <c r="CM140" s="154" t="s">
        <v>137</v>
      </c>
      <c r="CN140" s="35"/>
      <c r="CO140" s="35"/>
    </row>
    <row r="141" spans="1:95" s="1" customFormat="1" x14ac:dyDescent="0.25">
      <c r="A141" s="146">
        <v>42264</v>
      </c>
      <c r="B141" s="95" t="s">
        <v>12</v>
      </c>
      <c r="C141" s="31" t="s">
        <v>480</v>
      </c>
      <c r="D141" s="95" t="s">
        <v>106</v>
      </c>
      <c r="E141" s="170" t="s">
        <v>455</v>
      </c>
      <c r="F141" s="95" t="s">
        <v>481</v>
      </c>
      <c r="G141" s="132"/>
      <c r="H141" s="132"/>
      <c r="I141" s="132"/>
      <c r="J141" s="132" t="s">
        <v>482</v>
      </c>
      <c r="K141" s="95">
        <v>5335955</v>
      </c>
      <c r="L141" s="95"/>
      <c r="M141" s="95"/>
      <c r="N141" s="25"/>
      <c r="O141" s="26"/>
      <c r="P141" s="26"/>
      <c r="Q141" s="26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25"/>
      <c r="AO141" s="33"/>
      <c r="AP141" s="25"/>
      <c r="AQ141" s="33"/>
      <c r="AR141" s="31"/>
      <c r="AS141" s="33"/>
      <c r="AT141" s="25"/>
      <c r="AU141" s="41"/>
      <c r="AV141" s="95"/>
      <c r="AW141" s="41"/>
      <c r="AX141" s="95"/>
      <c r="AY141" s="95"/>
      <c r="AZ141" s="95"/>
      <c r="BA141" s="95"/>
      <c r="BB141" s="95" t="s">
        <v>483</v>
      </c>
      <c r="BC141" s="95"/>
      <c r="BD141" s="95"/>
      <c r="BE141" s="31" t="s">
        <v>484</v>
      </c>
      <c r="BF141" s="95" t="s">
        <v>483</v>
      </c>
      <c r="BG141" s="95"/>
      <c r="BH141" s="95"/>
      <c r="BI141" s="95"/>
      <c r="BJ141" s="25">
        <v>49370</v>
      </c>
      <c r="BK141" s="171">
        <v>41.23</v>
      </c>
      <c r="BL141" s="172" t="s">
        <v>485</v>
      </c>
      <c r="BM141" s="173">
        <v>10038568743418</v>
      </c>
      <c r="BN141" s="165">
        <v>12.95</v>
      </c>
      <c r="BO141" s="165">
        <v>8.07</v>
      </c>
      <c r="BP141" s="165">
        <v>2.15</v>
      </c>
      <c r="BQ141" s="149"/>
      <c r="BR141" s="149"/>
      <c r="BS141" s="149"/>
      <c r="BT141" s="151">
        <f>8.62+(0.018*2)</f>
        <v>8.6559999999999988</v>
      </c>
      <c r="BU141" s="151">
        <f>2.25+(0.018*2)</f>
        <v>2.286</v>
      </c>
      <c r="BV141" s="151">
        <f>13.87+(0.018*4)</f>
        <v>13.941999999999998</v>
      </c>
      <c r="BW141" s="47">
        <f t="shared" si="26"/>
        <v>0.15965216566666662</v>
      </c>
      <c r="BX141" s="174">
        <f>0.85+0.1</f>
        <v>0.95</v>
      </c>
      <c r="BY141" s="175">
        <f>14.25+(0.125*2)</f>
        <v>14.5</v>
      </c>
      <c r="BZ141" s="175">
        <f>14+(0.125*2)</f>
        <v>14.25</v>
      </c>
      <c r="CA141" s="175">
        <f>9+(0.125*4)</f>
        <v>9.5</v>
      </c>
      <c r="CB141" s="47">
        <f t="shared" si="32"/>
        <v>1.1359592013888888</v>
      </c>
      <c r="CC141" s="174">
        <f t="shared" si="33"/>
        <v>5.9499999999999993</v>
      </c>
      <c r="CD141" s="174"/>
      <c r="CE141" s="174"/>
      <c r="CF141" s="95" t="s">
        <v>164</v>
      </c>
      <c r="CG141" s="95">
        <v>6</v>
      </c>
      <c r="CH141" s="95">
        <v>6</v>
      </c>
      <c r="CI141" s="95">
        <v>4</v>
      </c>
      <c r="CJ141" s="154">
        <f t="shared" si="25"/>
        <v>144</v>
      </c>
      <c r="CK141" s="154">
        <f t="shared" si="34"/>
        <v>192.79999999999998</v>
      </c>
      <c r="CL141" s="95" t="s">
        <v>140</v>
      </c>
      <c r="CM141" s="154" t="s">
        <v>137</v>
      </c>
      <c r="CN141" s="35"/>
      <c r="CO141" s="35"/>
    </row>
    <row r="142" spans="1:95" s="1" customFormat="1" ht="30" x14ac:dyDescent="0.25">
      <c r="A142" s="146">
        <v>42264</v>
      </c>
      <c r="B142" s="95" t="s">
        <v>12</v>
      </c>
      <c r="C142" s="31" t="s">
        <v>486</v>
      </c>
      <c r="D142" s="95" t="s">
        <v>54</v>
      </c>
      <c r="E142" s="170" t="s">
        <v>487</v>
      </c>
      <c r="F142" s="176" t="s">
        <v>488</v>
      </c>
      <c r="G142" s="447"/>
      <c r="H142" s="447"/>
      <c r="I142" s="447"/>
      <c r="J142" s="184" t="s">
        <v>489</v>
      </c>
      <c r="K142" s="95">
        <v>3619555</v>
      </c>
      <c r="L142" s="95"/>
      <c r="M142" s="95"/>
      <c r="N142" s="25"/>
      <c r="O142" s="26"/>
      <c r="P142" s="26"/>
      <c r="Q142" s="26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25" t="s">
        <v>490</v>
      </c>
      <c r="AO142" s="33"/>
      <c r="AP142" s="25"/>
      <c r="AQ142" s="33"/>
      <c r="AR142" s="31" t="s">
        <v>491</v>
      </c>
      <c r="AS142" s="33"/>
      <c r="AT142" s="25" t="s">
        <v>492</v>
      </c>
      <c r="AU142" s="41"/>
      <c r="AV142" s="95"/>
      <c r="AW142" s="41"/>
      <c r="AX142" s="95"/>
      <c r="AY142" s="95"/>
      <c r="AZ142" s="95"/>
      <c r="BA142" s="95"/>
      <c r="BB142" s="95"/>
      <c r="BC142" s="95"/>
      <c r="BD142" s="95"/>
      <c r="BE142" s="31"/>
      <c r="BF142" s="95"/>
      <c r="BG142" s="95"/>
      <c r="BH142" s="95"/>
      <c r="BI142" s="95"/>
      <c r="BJ142" s="25" t="s">
        <v>493</v>
      </c>
      <c r="BK142" s="171">
        <v>45.36</v>
      </c>
      <c r="BL142" s="172" t="s">
        <v>494</v>
      </c>
      <c r="BM142" s="173">
        <v>10038568740424</v>
      </c>
      <c r="BN142" s="149"/>
      <c r="BO142" s="149"/>
      <c r="BP142" s="149"/>
      <c r="BQ142" s="165">
        <v>3.46</v>
      </c>
      <c r="BR142" s="165">
        <v>7.7</v>
      </c>
      <c r="BS142" s="149"/>
      <c r="BT142" s="151">
        <f>3.81+(0.018*2)</f>
        <v>3.8460000000000001</v>
      </c>
      <c r="BU142" s="151">
        <f>3.81+(0.018*2)</f>
        <v>3.8460000000000001</v>
      </c>
      <c r="BV142" s="151">
        <f>8+(0.018*4)</f>
        <v>8.0719999999999992</v>
      </c>
      <c r="BW142" s="47">
        <f t="shared" si="26"/>
        <v>6.9096488166666664E-2</v>
      </c>
      <c r="BX142" s="174">
        <f>1.15+0.25</f>
        <v>1.4</v>
      </c>
      <c r="BY142" s="175">
        <f>11.68+(0.125*2)</f>
        <v>11.93</v>
      </c>
      <c r="BZ142" s="175">
        <f>8.12+(0.125*2)</f>
        <v>8.3699999999999992</v>
      </c>
      <c r="CA142" s="175">
        <f>8.12+(0.125*4)</f>
        <v>8.6199999999999992</v>
      </c>
      <c r="CB142" s="47">
        <f t="shared" si="32"/>
        <v>0.49811478124999986</v>
      </c>
      <c r="CC142" s="174">
        <f t="shared" si="33"/>
        <v>8.6499999999999986</v>
      </c>
      <c r="CD142" s="174"/>
      <c r="CE142" s="174"/>
      <c r="CF142" s="95" t="s">
        <v>164</v>
      </c>
      <c r="CG142" s="95">
        <v>6</v>
      </c>
      <c r="CH142" s="95">
        <v>17</v>
      </c>
      <c r="CI142" s="95">
        <v>5</v>
      </c>
      <c r="CJ142" s="154">
        <f t="shared" si="25"/>
        <v>510</v>
      </c>
      <c r="CK142" s="154">
        <f>(BX142*CJ142)+50</f>
        <v>764</v>
      </c>
      <c r="CL142" s="95" t="s">
        <v>257</v>
      </c>
      <c r="CM142" s="154" t="s">
        <v>137</v>
      </c>
      <c r="CN142" s="71"/>
      <c r="CO142" s="35"/>
    </row>
    <row r="143" spans="1:95" s="1" customFormat="1" ht="60" customHeight="1" x14ac:dyDescent="0.25">
      <c r="A143" s="146">
        <v>42264</v>
      </c>
      <c r="B143" s="95" t="s">
        <v>12</v>
      </c>
      <c r="C143" s="31" t="s">
        <v>495</v>
      </c>
      <c r="D143" s="95" t="s">
        <v>54</v>
      </c>
      <c r="E143" s="170" t="s">
        <v>496</v>
      </c>
      <c r="F143" s="26" t="s">
        <v>497</v>
      </c>
      <c r="G143" s="184"/>
      <c r="H143" s="184"/>
      <c r="I143" s="184"/>
      <c r="J143" s="132" t="s">
        <v>498</v>
      </c>
      <c r="K143" s="26">
        <v>504082382</v>
      </c>
      <c r="L143" s="95"/>
      <c r="M143" s="95"/>
      <c r="N143" s="25"/>
      <c r="O143" s="26"/>
      <c r="P143" s="26"/>
      <c r="Q143" s="26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25"/>
      <c r="AO143" s="33"/>
      <c r="AP143" s="25"/>
      <c r="AQ143" s="33"/>
      <c r="AR143" s="31"/>
      <c r="AS143" s="33"/>
      <c r="AT143" s="25"/>
      <c r="AU143" s="183"/>
      <c r="AV143" s="95"/>
      <c r="AW143" s="41"/>
      <c r="AX143" s="95"/>
      <c r="AY143" s="95"/>
      <c r="AZ143" s="95"/>
      <c r="BA143" s="95"/>
      <c r="BB143" s="95"/>
      <c r="BC143" s="95"/>
      <c r="BD143" s="95"/>
      <c r="BE143" s="31"/>
      <c r="BF143" s="95"/>
      <c r="BG143" s="95"/>
      <c r="BH143" s="95"/>
      <c r="BI143" s="95"/>
      <c r="BJ143" s="25"/>
      <c r="BK143" s="171">
        <v>49.99</v>
      </c>
      <c r="BL143" s="172" t="s">
        <v>499</v>
      </c>
      <c r="BM143" s="173">
        <v>10038568738155</v>
      </c>
      <c r="BN143" s="149"/>
      <c r="BO143" s="149"/>
      <c r="BP143" s="149"/>
      <c r="BQ143" s="165">
        <v>4.2300000000000004</v>
      </c>
      <c r="BR143" s="165">
        <v>9.07</v>
      </c>
      <c r="BS143" s="165">
        <v>3.63</v>
      </c>
      <c r="BT143" s="484" t="s">
        <v>356</v>
      </c>
      <c r="BU143" s="485"/>
      <c r="BV143" s="485"/>
      <c r="BW143" s="485"/>
      <c r="BX143" s="486"/>
      <c r="BY143" s="175">
        <f>14.62+(0.125*2)</f>
        <v>14.87</v>
      </c>
      <c r="BZ143" s="175">
        <f>9.75+(0.125*2)</f>
        <v>10</v>
      </c>
      <c r="CA143" s="175">
        <f>10+(0.125*4)</f>
        <v>10.5</v>
      </c>
      <c r="CB143" s="47">
        <f t="shared" si="32"/>
        <v>0.90355902777777775</v>
      </c>
      <c r="CC143" s="174">
        <f>(2.44*6)+0.25</f>
        <v>14.89</v>
      </c>
      <c r="CD143" s="174"/>
      <c r="CE143" s="174"/>
      <c r="CF143" s="95" t="s">
        <v>164</v>
      </c>
      <c r="CG143" s="95">
        <v>6</v>
      </c>
      <c r="CH143" s="95">
        <v>12</v>
      </c>
      <c r="CI143" s="95">
        <v>4</v>
      </c>
      <c r="CJ143" s="154">
        <f t="shared" si="25"/>
        <v>288</v>
      </c>
      <c r="CK143" s="154">
        <f>(2.44*CJ143)+50+ (48*0.25)</f>
        <v>764.72</v>
      </c>
      <c r="CL143" s="95" t="s">
        <v>257</v>
      </c>
      <c r="CM143" s="154" t="s">
        <v>137</v>
      </c>
      <c r="CN143" s="71"/>
      <c r="CO143" s="71"/>
    </row>
    <row r="144" spans="1:95" s="1" customFormat="1" x14ac:dyDescent="0.25">
      <c r="A144" s="146">
        <v>42264</v>
      </c>
      <c r="B144" s="95" t="s">
        <v>12</v>
      </c>
      <c r="C144" s="31" t="s">
        <v>504</v>
      </c>
      <c r="D144" s="95" t="s">
        <v>106</v>
      </c>
      <c r="E144" s="170" t="s">
        <v>496</v>
      </c>
      <c r="F144" s="26" t="s">
        <v>505</v>
      </c>
      <c r="G144" s="26"/>
      <c r="H144" s="26"/>
      <c r="I144" s="26"/>
      <c r="J144" s="95" t="s">
        <v>125</v>
      </c>
      <c r="K144" s="26" t="s">
        <v>506</v>
      </c>
      <c r="L144" s="95"/>
      <c r="M144" s="95"/>
      <c r="N144" s="25"/>
      <c r="O144" s="26"/>
      <c r="P144" s="26"/>
      <c r="Q144" s="26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25"/>
      <c r="AO144" s="33"/>
      <c r="AP144" s="25"/>
      <c r="AQ144" s="33"/>
      <c r="AR144" s="31"/>
      <c r="AS144" s="33"/>
      <c r="AT144" s="25"/>
      <c r="AU144" s="25" t="s">
        <v>507</v>
      </c>
      <c r="AV144" s="95"/>
      <c r="AW144" s="41"/>
      <c r="AX144" s="95"/>
      <c r="AY144" s="95"/>
      <c r="AZ144" s="95"/>
      <c r="BA144" s="95"/>
      <c r="BB144" s="95"/>
      <c r="BC144" s="95"/>
      <c r="BD144" s="95"/>
      <c r="BE144" s="31" t="s">
        <v>508</v>
      </c>
      <c r="BF144" s="95" t="s">
        <v>509</v>
      </c>
      <c r="BG144" s="95" t="s">
        <v>510</v>
      </c>
      <c r="BH144" s="95"/>
      <c r="BI144" s="25" t="s">
        <v>511</v>
      </c>
      <c r="BJ144" s="25"/>
      <c r="BK144" s="171">
        <v>13.9</v>
      </c>
      <c r="BL144" s="172" t="s">
        <v>512</v>
      </c>
      <c r="BM144" s="173">
        <v>10038568743012</v>
      </c>
      <c r="BN144" s="149"/>
      <c r="BO144" s="149"/>
      <c r="BP144" s="149"/>
      <c r="BQ144" s="165">
        <v>5.39</v>
      </c>
      <c r="BR144" s="165">
        <v>1.94</v>
      </c>
      <c r="BS144" s="149"/>
      <c r="BT144" s="151">
        <f>2.312+(0.018*2)</f>
        <v>2.3479999999999999</v>
      </c>
      <c r="BU144" s="151">
        <f>2.312+(0.018*2)</f>
        <v>2.3479999999999999</v>
      </c>
      <c r="BV144" s="151">
        <f>5.75+(0.018*4)</f>
        <v>5.8220000000000001</v>
      </c>
      <c r="BW144" s="47">
        <f>(BV144*BU144*BT144)/1728</f>
        <v>1.8574821462962961E-2</v>
      </c>
      <c r="BX144" s="174">
        <f>0.115+0.1</f>
        <v>0.21500000000000002</v>
      </c>
      <c r="BY144" s="175">
        <f>10+(0.125*2)</f>
        <v>10.25</v>
      </c>
      <c r="BZ144" s="175">
        <f>7.5+(0.125*2)</f>
        <v>7.75</v>
      </c>
      <c r="CA144" s="175">
        <f>6.62+(0.125*4)</f>
        <v>7.12</v>
      </c>
      <c r="CB144" s="47">
        <f t="shared" si="32"/>
        <v>0.32731192129629633</v>
      </c>
      <c r="CC144" s="174">
        <f>(BX144*12)+0.25</f>
        <v>2.83</v>
      </c>
      <c r="CD144" s="174"/>
      <c r="CE144" s="174"/>
      <c r="CF144" s="95" t="s">
        <v>135</v>
      </c>
      <c r="CG144" s="95">
        <v>12</v>
      </c>
      <c r="CH144" s="95">
        <v>22</v>
      </c>
      <c r="CI144" s="95">
        <v>6</v>
      </c>
      <c r="CJ144" s="154">
        <f t="shared" si="25"/>
        <v>1584</v>
      </c>
      <c r="CK144" s="154">
        <f>(CC144*CH144*CI144)+50</f>
        <v>423.56000000000006</v>
      </c>
      <c r="CL144" s="95" t="s">
        <v>257</v>
      </c>
      <c r="CM144" s="154" t="s">
        <v>137</v>
      </c>
      <c r="CN144" s="71"/>
      <c r="CO144" s="71"/>
    </row>
    <row r="145" spans="1:99" s="1" customFormat="1" x14ac:dyDescent="0.25">
      <c r="A145" s="146">
        <v>42264</v>
      </c>
      <c r="B145" s="95" t="s">
        <v>12</v>
      </c>
      <c r="C145" s="31" t="s">
        <v>423</v>
      </c>
      <c r="D145" s="95" t="s">
        <v>106</v>
      </c>
      <c r="E145" s="170" t="s">
        <v>496</v>
      </c>
      <c r="F145" s="26" t="s">
        <v>513</v>
      </c>
      <c r="G145" s="26"/>
      <c r="H145" s="26"/>
      <c r="I145" s="26"/>
      <c r="J145" s="95" t="s">
        <v>130</v>
      </c>
      <c r="K145" s="26" t="s">
        <v>514</v>
      </c>
      <c r="L145" s="185" t="s">
        <v>130</v>
      </c>
      <c r="M145" s="186" t="s">
        <v>515</v>
      </c>
      <c r="N145" s="25"/>
      <c r="O145" s="26"/>
      <c r="P145" s="26"/>
      <c r="Q145" s="26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25"/>
      <c r="AO145" s="33"/>
      <c r="AP145" s="25"/>
      <c r="AQ145" s="33"/>
      <c r="AR145" s="31"/>
      <c r="AS145" s="33"/>
      <c r="AT145" s="25"/>
      <c r="AU145" s="41" t="s">
        <v>516</v>
      </c>
      <c r="AV145" s="95"/>
      <c r="AW145" s="41"/>
      <c r="AX145" s="95"/>
      <c r="AY145" s="95"/>
      <c r="AZ145" s="95"/>
      <c r="BA145" s="95"/>
      <c r="BB145" s="95"/>
      <c r="BC145" s="95"/>
      <c r="BD145" s="95"/>
      <c r="BE145" s="31" t="s">
        <v>517</v>
      </c>
      <c r="BF145" s="95"/>
      <c r="BG145" s="95"/>
      <c r="BH145" s="95"/>
      <c r="BI145" s="95"/>
      <c r="BJ145" s="25">
        <v>57010</v>
      </c>
      <c r="BK145" s="171">
        <v>17.18</v>
      </c>
      <c r="BL145" s="172" t="s">
        <v>426</v>
      </c>
      <c r="BM145" s="173">
        <v>10038568743067</v>
      </c>
      <c r="BN145" s="149"/>
      <c r="BO145" s="149"/>
      <c r="BP145" s="149"/>
      <c r="BQ145" s="165">
        <v>2.5590000000000002</v>
      </c>
      <c r="BR145" s="165">
        <v>4.0549999999999997</v>
      </c>
      <c r="BS145" s="149"/>
      <c r="BT145" s="151">
        <f>2.755+(0.018*2)</f>
        <v>2.7909999999999999</v>
      </c>
      <c r="BU145" s="151">
        <f>2.755+(0.018*2)</f>
        <v>2.7909999999999999</v>
      </c>
      <c r="BV145" s="151">
        <f>4.842+(0.018*4)</f>
        <v>4.9139999999999997</v>
      </c>
      <c r="BW145" s="47">
        <f>(BV145*BU145*BT145)/1728</f>
        <v>2.2151905343749997E-2</v>
      </c>
      <c r="BX145" s="174">
        <f>0.25+0.1</f>
        <v>0.35</v>
      </c>
      <c r="BY145" s="175">
        <f>11.42+(0.125*2)</f>
        <v>11.67</v>
      </c>
      <c r="BZ145" s="175">
        <f>8.66+(0.125*2)</f>
        <v>8.91</v>
      </c>
      <c r="CA145" s="175">
        <f>5.43+(0.125*4)</f>
        <v>5.93</v>
      </c>
      <c r="CB145" s="47">
        <f t="shared" si="32"/>
        <v>0.35682848437499998</v>
      </c>
      <c r="CC145" s="174">
        <f>(BX145*12)+0.25</f>
        <v>4.4499999999999993</v>
      </c>
      <c r="CD145" s="174"/>
      <c r="CE145" s="174"/>
      <c r="CF145" s="31" t="s">
        <v>135</v>
      </c>
      <c r="CG145" s="95">
        <v>12</v>
      </c>
      <c r="CH145" s="95">
        <v>17</v>
      </c>
      <c r="CI145" s="95">
        <v>7</v>
      </c>
      <c r="CJ145" s="154">
        <f t="shared" si="25"/>
        <v>1428</v>
      </c>
      <c r="CK145" s="154">
        <f>(CC145*CH145*CI145)+50</f>
        <v>579.54999999999995</v>
      </c>
      <c r="CL145" s="95" t="s">
        <v>322</v>
      </c>
      <c r="CM145" s="154" t="s">
        <v>137</v>
      </c>
      <c r="CN145" s="71"/>
      <c r="CO145" s="35"/>
    </row>
    <row r="146" spans="1:99" s="1" customFormat="1" x14ac:dyDescent="0.25">
      <c r="A146" s="146">
        <v>42264</v>
      </c>
      <c r="B146" s="95" t="s">
        <v>12</v>
      </c>
      <c r="C146" s="31" t="s">
        <v>518</v>
      </c>
      <c r="D146" s="95" t="s">
        <v>54</v>
      </c>
      <c r="E146" s="170" t="s">
        <v>496</v>
      </c>
      <c r="F146" s="26" t="s">
        <v>519</v>
      </c>
      <c r="G146" s="26"/>
      <c r="H146" s="26"/>
      <c r="I146" s="26"/>
      <c r="J146" s="95" t="s">
        <v>520</v>
      </c>
      <c r="K146" s="26" t="s">
        <v>521</v>
      </c>
      <c r="L146" s="95"/>
      <c r="M146" s="95"/>
      <c r="N146" s="25"/>
      <c r="O146" s="26"/>
      <c r="P146" s="26"/>
      <c r="Q146" s="26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25" t="s">
        <v>522</v>
      </c>
      <c r="AO146" s="33"/>
      <c r="AP146" s="25"/>
      <c r="AQ146" s="33"/>
      <c r="AR146" s="31"/>
      <c r="AS146" s="33"/>
      <c r="AT146" s="25" t="s">
        <v>523</v>
      </c>
      <c r="AU146" s="41" t="s">
        <v>524</v>
      </c>
      <c r="AV146" s="95"/>
      <c r="AW146" s="41"/>
      <c r="AX146" s="95"/>
      <c r="AY146" s="95"/>
      <c r="AZ146" s="95"/>
      <c r="BA146" s="95"/>
      <c r="BB146" s="95"/>
      <c r="BC146" s="95"/>
      <c r="BD146" s="95"/>
      <c r="BE146" s="31"/>
      <c r="BF146" s="95"/>
      <c r="BG146" s="95"/>
      <c r="BH146" s="95"/>
      <c r="BI146" s="95"/>
      <c r="BJ146" s="25">
        <v>57707</v>
      </c>
      <c r="BK146" s="171">
        <v>35.18</v>
      </c>
      <c r="BL146" s="187" t="s">
        <v>525</v>
      </c>
      <c r="BM146" s="188">
        <v>10038568741575</v>
      </c>
      <c r="BN146" s="38"/>
      <c r="BO146" s="38"/>
      <c r="BP146" s="38"/>
      <c r="BQ146" s="93">
        <v>3.83</v>
      </c>
      <c r="BR146" s="93">
        <v>7</v>
      </c>
      <c r="BS146" s="93">
        <v>4.7699999999999996</v>
      </c>
      <c r="BT146" s="117">
        <f>3.875+(0.018*2)</f>
        <v>3.911</v>
      </c>
      <c r="BU146" s="117">
        <f>3.875+(0.018*2)</f>
        <v>3.911</v>
      </c>
      <c r="BV146" s="117">
        <f>7.25+(0.018*4)</f>
        <v>7.3220000000000001</v>
      </c>
      <c r="BW146" s="92">
        <f>(BV146*BU146*BT146)/1728</f>
        <v>6.4812924515046291E-2</v>
      </c>
      <c r="BX146" s="189">
        <f>1+0.25</f>
        <v>1.25</v>
      </c>
      <c r="BY146" s="190">
        <f>16.187+(0.125*2)</f>
        <v>16.437000000000001</v>
      </c>
      <c r="BZ146" s="190">
        <f>12.187+(0.125*2)</f>
        <v>12.436999999999999</v>
      </c>
      <c r="CA146" s="190">
        <f>7.375+(0.125*4)</f>
        <v>7.875</v>
      </c>
      <c r="CB146" s="92">
        <f t="shared" si="32"/>
        <v>0.93163332226562501</v>
      </c>
      <c r="CC146" s="189">
        <f>(BX146*12)+0.25</f>
        <v>15.25</v>
      </c>
      <c r="CD146" s="189"/>
      <c r="CE146" s="189"/>
      <c r="CF146" s="72" t="s">
        <v>164</v>
      </c>
      <c r="CG146" s="72">
        <v>12</v>
      </c>
      <c r="CH146" s="72">
        <v>8</v>
      </c>
      <c r="CI146" s="72">
        <v>5</v>
      </c>
      <c r="CJ146" s="27">
        <f t="shared" si="25"/>
        <v>480</v>
      </c>
      <c r="CK146" s="27">
        <f>(BX146*CJ146)+50</f>
        <v>650</v>
      </c>
      <c r="CL146" s="72" t="s">
        <v>257</v>
      </c>
      <c r="CM146" s="27" t="s">
        <v>137</v>
      </c>
      <c r="CN146" s="35"/>
      <c r="CO146" s="35"/>
    </row>
    <row r="147" spans="1:99" s="211" customFormat="1" x14ac:dyDescent="0.25">
      <c r="A147" s="191">
        <v>42200</v>
      </c>
      <c r="B147" s="191"/>
      <c r="C147" s="192" t="s">
        <v>526</v>
      </c>
      <c r="D147" s="193" t="s">
        <v>106</v>
      </c>
      <c r="E147" s="194" t="s">
        <v>439</v>
      </c>
      <c r="F147" s="193" t="s">
        <v>527</v>
      </c>
      <c r="G147" s="193"/>
      <c r="H147" s="193"/>
      <c r="I147" s="193"/>
      <c r="J147" s="193" t="s">
        <v>125</v>
      </c>
      <c r="K147" s="192">
        <v>13727838804</v>
      </c>
      <c r="L147" s="193"/>
      <c r="M147" s="193"/>
      <c r="N147" s="195"/>
      <c r="O147" s="196"/>
      <c r="P147" s="196"/>
      <c r="Q147" s="196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5"/>
      <c r="AO147" s="198"/>
      <c r="AP147" s="195"/>
      <c r="AQ147" s="198"/>
      <c r="AR147" s="192"/>
      <c r="AS147" s="198"/>
      <c r="AT147" s="195"/>
      <c r="AU147" s="195" t="s">
        <v>528</v>
      </c>
      <c r="AV147" s="193"/>
      <c r="AW147" s="199"/>
      <c r="AX147" s="193"/>
      <c r="AY147" s="193"/>
      <c r="AZ147" s="193"/>
      <c r="BA147" s="193"/>
      <c r="BB147" s="193"/>
      <c r="BC147" s="193"/>
      <c r="BD147" s="193"/>
      <c r="BE147" s="192" t="s">
        <v>529</v>
      </c>
      <c r="BF147" s="193"/>
      <c r="BG147" s="193"/>
      <c r="BH147" s="193"/>
      <c r="BI147" s="193"/>
      <c r="BJ147" s="195"/>
      <c r="BK147" s="200">
        <v>59.95</v>
      </c>
      <c r="BL147" s="201" t="s">
        <v>530</v>
      </c>
      <c r="BM147" s="202">
        <v>10038568742442</v>
      </c>
      <c r="BN147" s="203">
        <v>9.01</v>
      </c>
      <c r="BO147" s="203">
        <v>8.27</v>
      </c>
      <c r="BP147" s="203">
        <v>6.34</v>
      </c>
      <c r="BQ147" s="204"/>
      <c r="BR147" s="204"/>
      <c r="BS147" s="204"/>
      <c r="BT147" s="205">
        <f>9.88+(0.018*2)</f>
        <v>9.9160000000000004</v>
      </c>
      <c r="BU147" s="205">
        <f>9.38+(0.018*2)</f>
        <v>9.4160000000000004</v>
      </c>
      <c r="BV147" s="205">
        <f>6.88+(0.018*4)</f>
        <v>6.952</v>
      </c>
      <c r="BW147" s="206">
        <f t="shared" ref="BW147:BW156" si="35">(BV147*BU147*BT147)/1728</f>
        <v>0.37563754474074074</v>
      </c>
      <c r="BX147" s="207">
        <f>0.9+0.1</f>
        <v>1</v>
      </c>
      <c r="BY147" s="208">
        <f>23+(0.125*2)</f>
        <v>23.25</v>
      </c>
      <c r="BZ147" s="208">
        <f>10.12+(0.125*2)</f>
        <v>10.37</v>
      </c>
      <c r="CA147" s="208">
        <f>10.12+(0.125*4)</f>
        <v>10.62</v>
      </c>
      <c r="CB147" s="206">
        <f>(CA147*BZ147*BY147)/1728</f>
        <v>1.4817757812499996</v>
      </c>
      <c r="CC147" s="207">
        <f>(BX147*3)+0.25</f>
        <v>3.25</v>
      </c>
      <c r="CD147" s="207"/>
      <c r="CE147" s="207"/>
      <c r="CF147" s="193" t="s">
        <v>164</v>
      </c>
      <c r="CG147" s="193">
        <v>3</v>
      </c>
      <c r="CH147" s="193">
        <v>6</v>
      </c>
      <c r="CI147" s="193">
        <v>4</v>
      </c>
      <c r="CJ147" s="209">
        <f>CG147*CH147*CI147</f>
        <v>72</v>
      </c>
      <c r="CK147" s="209">
        <f t="shared" ref="CK147:CK154" si="36">(CC147*CH147*CI147)+50</f>
        <v>128</v>
      </c>
      <c r="CL147" s="193" t="s">
        <v>531</v>
      </c>
      <c r="CM147" s="209" t="s">
        <v>137</v>
      </c>
      <c r="CN147" s="210"/>
      <c r="CO147" s="210"/>
      <c r="CP147" s="1"/>
      <c r="CQ147" s="1"/>
      <c r="CR147" s="1"/>
      <c r="CS147" s="1"/>
      <c r="CT147" s="1"/>
      <c r="CU147" s="1"/>
    </row>
    <row r="148" spans="1:99" s="211" customFormat="1" x14ac:dyDescent="0.25">
      <c r="A148" s="146">
        <v>42200</v>
      </c>
      <c r="B148" s="146"/>
      <c r="C148" s="212" t="s">
        <v>532</v>
      </c>
      <c r="D148" s="213" t="s">
        <v>106</v>
      </c>
      <c r="E148" s="214" t="s">
        <v>496</v>
      </c>
      <c r="F148" s="215" t="s">
        <v>533</v>
      </c>
      <c r="G148" s="215"/>
      <c r="H148" s="215"/>
      <c r="I148" s="215"/>
      <c r="J148" s="213" t="s">
        <v>279</v>
      </c>
      <c r="K148" s="212" t="s">
        <v>534</v>
      </c>
      <c r="L148" s="213"/>
      <c r="M148" s="213"/>
      <c r="N148" s="25"/>
      <c r="O148" s="26"/>
      <c r="P148" s="26"/>
      <c r="Q148" s="2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5"/>
      <c r="AO148" s="33"/>
      <c r="AP148" s="25"/>
      <c r="AQ148" s="33"/>
      <c r="AR148" s="212"/>
      <c r="AS148" s="33"/>
      <c r="AT148" s="25"/>
      <c r="AU148" s="41"/>
      <c r="AV148" s="213"/>
      <c r="AW148" s="41"/>
      <c r="AX148" s="213"/>
      <c r="AY148" s="213"/>
      <c r="AZ148" s="213"/>
      <c r="BA148" s="213"/>
      <c r="BB148" s="213"/>
      <c r="BC148" s="213"/>
      <c r="BD148" s="213"/>
      <c r="BE148" s="212"/>
      <c r="BF148" s="213"/>
      <c r="BG148" s="213"/>
      <c r="BH148" s="213"/>
      <c r="BI148" s="213"/>
      <c r="BJ148" s="25" t="s">
        <v>452</v>
      </c>
      <c r="BK148" s="217">
        <v>20.39</v>
      </c>
      <c r="BL148" s="218" t="s">
        <v>535</v>
      </c>
      <c r="BM148" s="219">
        <v>10038568743005</v>
      </c>
      <c r="BN148" s="38"/>
      <c r="BO148" s="38"/>
      <c r="BP148" s="38"/>
      <c r="BQ148" s="93">
        <v>2.99</v>
      </c>
      <c r="BR148" s="93">
        <v>5.0199999999999996</v>
      </c>
      <c r="BS148" s="38"/>
      <c r="BT148" s="94">
        <f>3.346+(0.018*2)</f>
        <v>3.3820000000000001</v>
      </c>
      <c r="BU148" s="94">
        <f>3.346+(0.018*2)</f>
        <v>3.3820000000000001</v>
      </c>
      <c r="BV148" s="94">
        <f>5.511+(0.018*4)</f>
        <v>5.5830000000000002</v>
      </c>
      <c r="BW148" s="92">
        <f t="shared" si="35"/>
        <v>3.6954820423611118E-2</v>
      </c>
      <c r="BX148" s="220">
        <f>0.25+0.1</f>
        <v>0.35</v>
      </c>
      <c r="BY148" s="221">
        <f>13.75+(0.125*2)</f>
        <v>14</v>
      </c>
      <c r="BZ148" s="221">
        <f>10.25+(0.125*2)</f>
        <v>10.5</v>
      </c>
      <c r="CA148" s="221">
        <f>5.75+(0.125*4)</f>
        <v>6.25</v>
      </c>
      <c r="CB148" s="92">
        <f t="shared" ref="CB148:CB154" si="37">(CA148*BZ148*BY148)/1728</f>
        <v>0.53168402777777779</v>
      </c>
      <c r="CC148" s="220">
        <f>(BX148*12)+0.25</f>
        <v>4.4499999999999993</v>
      </c>
      <c r="CD148" s="220"/>
      <c r="CE148" s="220"/>
      <c r="CF148" s="213" t="s">
        <v>135</v>
      </c>
      <c r="CG148" s="213">
        <v>12</v>
      </c>
      <c r="CH148" s="213">
        <v>11</v>
      </c>
      <c r="CI148" s="213">
        <v>7</v>
      </c>
      <c r="CJ148" s="27">
        <f t="shared" ref="CJ148:CJ154" si="38">CG148*CH148*CI148</f>
        <v>924</v>
      </c>
      <c r="CK148" s="27">
        <f t="shared" si="36"/>
        <v>392.64999999999992</v>
      </c>
      <c r="CL148" s="213" t="s">
        <v>317</v>
      </c>
      <c r="CM148" s="27" t="s">
        <v>137</v>
      </c>
      <c r="CN148" s="210"/>
      <c r="CO148" s="210"/>
      <c r="CP148" s="1"/>
      <c r="CQ148" s="1"/>
      <c r="CR148" s="1"/>
      <c r="CS148" s="1"/>
      <c r="CT148" s="1"/>
      <c r="CU148" s="1"/>
    </row>
    <row r="149" spans="1:99" s="211" customFormat="1" x14ac:dyDescent="0.25">
      <c r="A149" s="146">
        <v>42200</v>
      </c>
      <c r="B149" s="146"/>
      <c r="C149" s="212" t="s">
        <v>536</v>
      </c>
      <c r="D149" s="213" t="s">
        <v>106</v>
      </c>
      <c r="E149" s="214" t="s">
        <v>496</v>
      </c>
      <c r="F149" s="215" t="s">
        <v>537</v>
      </c>
      <c r="G149" s="215"/>
      <c r="H149" s="215"/>
      <c r="I149" s="215"/>
      <c r="J149" s="213" t="s">
        <v>130</v>
      </c>
      <c r="K149" s="212">
        <v>1803009</v>
      </c>
      <c r="L149" s="213"/>
      <c r="M149" s="213"/>
      <c r="N149" s="25"/>
      <c r="O149" s="26"/>
      <c r="P149" s="26"/>
      <c r="Q149" s="2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5"/>
      <c r="AO149" s="33"/>
      <c r="AP149" s="25"/>
      <c r="AQ149" s="33"/>
      <c r="AR149" s="212"/>
      <c r="AS149" s="33"/>
      <c r="AT149" s="25"/>
      <c r="AU149" s="41" t="s">
        <v>516</v>
      </c>
      <c r="AV149" s="213"/>
      <c r="AW149" s="41"/>
      <c r="AX149" s="213"/>
      <c r="AY149" s="213"/>
      <c r="AZ149" s="213"/>
      <c r="BA149" s="213"/>
      <c r="BB149" s="213"/>
      <c r="BC149" s="213"/>
      <c r="BD149" s="213"/>
      <c r="BE149" s="212" t="s">
        <v>517</v>
      </c>
      <c r="BF149" s="213"/>
      <c r="BG149" s="213"/>
      <c r="BH149" s="213"/>
      <c r="BI149" s="213"/>
      <c r="BJ149" s="25">
        <v>57010</v>
      </c>
      <c r="BK149" s="217">
        <v>30.39</v>
      </c>
      <c r="BL149" s="218" t="s">
        <v>538</v>
      </c>
      <c r="BM149" s="219">
        <v>10038568743029</v>
      </c>
      <c r="BN149" s="38"/>
      <c r="BO149" s="38"/>
      <c r="BP149" s="38"/>
      <c r="BQ149" s="93">
        <v>4.99</v>
      </c>
      <c r="BR149" s="93">
        <v>2.87</v>
      </c>
      <c r="BS149" s="38"/>
      <c r="BT149" s="94">
        <f>3.812+(0.018*2)</f>
        <v>3.8479999999999999</v>
      </c>
      <c r="BU149" s="94">
        <f>3.812+(0.018*2)</f>
        <v>3.8479999999999999</v>
      </c>
      <c r="BV149" s="94">
        <f>5.375+(0.018*4)</f>
        <v>5.4470000000000001</v>
      </c>
      <c r="BW149" s="92">
        <f t="shared" si="35"/>
        <v>4.6674939518518511E-2</v>
      </c>
      <c r="BX149" s="220">
        <f>0.215+0.1</f>
        <v>0.315</v>
      </c>
      <c r="BY149" s="221">
        <f>11.625+(0.125*2)</f>
        <v>11.875</v>
      </c>
      <c r="BZ149" s="221">
        <f>5.562+(0.125*2)</f>
        <v>5.8120000000000003</v>
      </c>
      <c r="CA149" s="221">
        <f>15.5+(0.125*4)</f>
        <v>16</v>
      </c>
      <c r="CB149" s="92">
        <f t="shared" si="37"/>
        <v>0.63905092592592594</v>
      </c>
      <c r="CC149" s="220">
        <f>(BX149*3)+0.25</f>
        <v>1.1950000000000001</v>
      </c>
      <c r="CD149" s="220"/>
      <c r="CE149" s="220"/>
      <c r="CF149" s="213" t="s">
        <v>164</v>
      </c>
      <c r="CG149" s="213">
        <v>12</v>
      </c>
      <c r="CH149" s="213">
        <v>10</v>
      </c>
      <c r="CI149" s="213">
        <v>5</v>
      </c>
      <c r="CJ149" s="27">
        <f t="shared" si="38"/>
        <v>600</v>
      </c>
      <c r="CK149" s="27">
        <f t="shared" si="36"/>
        <v>109.75</v>
      </c>
      <c r="CL149" s="213" t="s">
        <v>531</v>
      </c>
      <c r="CM149" s="27" t="s">
        <v>137</v>
      </c>
      <c r="CN149" s="210"/>
      <c r="CO149" s="210"/>
      <c r="CP149" s="1"/>
      <c r="CQ149" s="1"/>
      <c r="CR149" s="1"/>
      <c r="CS149" s="1"/>
      <c r="CT149" s="1"/>
      <c r="CU149" s="1"/>
    </row>
    <row r="150" spans="1:99" s="211" customFormat="1" x14ac:dyDescent="0.25">
      <c r="A150" s="146">
        <v>42160</v>
      </c>
      <c r="B150" s="146"/>
      <c r="C150" s="212" t="s">
        <v>539</v>
      </c>
      <c r="D150" s="213" t="s">
        <v>106</v>
      </c>
      <c r="E150" s="214" t="s">
        <v>439</v>
      </c>
      <c r="F150" s="215" t="s">
        <v>540</v>
      </c>
      <c r="G150" s="215"/>
      <c r="H150" s="215"/>
      <c r="I150" s="215"/>
      <c r="J150" s="213" t="s">
        <v>541</v>
      </c>
      <c r="K150" s="212" t="s">
        <v>542</v>
      </c>
      <c r="L150" s="213"/>
      <c r="M150" s="213"/>
      <c r="N150" s="25"/>
      <c r="O150" s="26"/>
      <c r="P150" s="26"/>
      <c r="Q150" s="2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5"/>
      <c r="AO150" s="33"/>
      <c r="AP150" s="25">
        <v>83240</v>
      </c>
      <c r="AQ150" s="33"/>
      <c r="AR150" s="212"/>
      <c r="AS150" s="33"/>
      <c r="AT150" s="25"/>
      <c r="AU150" s="25" t="s">
        <v>543</v>
      </c>
      <c r="AV150" s="213" t="s">
        <v>544</v>
      </c>
      <c r="AW150" s="41"/>
      <c r="AX150" s="213" t="s">
        <v>545</v>
      </c>
      <c r="AY150" s="213"/>
      <c r="AZ150" s="213"/>
      <c r="BA150" s="213"/>
      <c r="BB150" s="213"/>
      <c r="BC150" s="213"/>
      <c r="BD150" s="213">
        <v>9240</v>
      </c>
      <c r="BE150" s="212" t="s">
        <v>546</v>
      </c>
      <c r="BF150" s="213"/>
      <c r="BG150" s="213"/>
      <c r="BH150" s="213"/>
      <c r="BI150" s="213"/>
      <c r="BJ150" s="25">
        <v>49240</v>
      </c>
      <c r="BK150" s="217">
        <v>29.14</v>
      </c>
      <c r="BL150" s="218" t="s">
        <v>547</v>
      </c>
      <c r="BM150" s="219">
        <v>10038568742466</v>
      </c>
      <c r="BN150" s="93">
        <v>9.17</v>
      </c>
      <c r="BO150" s="93">
        <v>9</v>
      </c>
      <c r="BP150" s="93">
        <v>2.48</v>
      </c>
      <c r="BQ150" s="38"/>
      <c r="BR150" s="38"/>
      <c r="BS150" s="38"/>
      <c r="BT150" s="94">
        <f>9.87+(0.018*2)</f>
        <v>9.9059999999999988</v>
      </c>
      <c r="BU150" s="94">
        <f>3.75+(0.018*2)</f>
        <v>3.786</v>
      </c>
      <c r="BV150" s="94">
        <f>9.87+(0.018*4)</f>
        <v>9.9419999999999984</v>
      </c>
      <c r="BW150" s="92">
        <f t="shared" si="35"/>
        <v>0.21577888962499994</v>
      </c>
      <c r="BX150" s="94">
        <f>0.591+0.1</f>
        <v>0.69099999999999995</v>
      </c>
      <c r="BY150" s="221">
        <f>11.75+(0.125*2)</f>
        <v>12</v>
      </c>
      <c r="BZ150" s="221">
        <f>10.12+(0.125*2)</f>
        <v>10.37</v>
      </c>
      <c r="CA150" s="221">
        <f>10.12+(0.125*4)</f>
        <v>10.62</v>
      </c>
      <c r="CB150" s="92">
        <f t="shared" si="37"/>
        <v>0.76478749999999995</v>
      </c>
      <c r="CC150" s="94">
        <f>(BX150*3)+0.25</f>
        <v>2.323</v>
      </c>
      <c r="CD150" s="302"/>
      <c r="CE150" s="302"/>
      <c r="CF150" s="213" t="s">
        <v>164</v>
      </c>
      <c r="CG150" s="213">
        <v>3</v>
      </c>
      <c r="CH150" s="213">
        <v>12</v>
      </c>
      <c r="CI150" s="213">
        <v>4</v>
      </c>
      <c r="CJ150" s="27">
        <f t="shared" si="38"/>
        <v>144</v>
      </c>
      <c r="CK150" s="27">
        <f t="shared" si="36"/>
        <v>161.50399999999999</v>
      </c>
      <c r="CL150" s="213" t="s">
        <v>136</v>
      </c>
      <c r="CM150" s="27" t="s">
        <v>137</v>
      </c>
      <c r="CN150" s="210"/>
      <c r="CO150" s="210"/>
      <c r="CP150" s="1"/>
      <c r="CQ150" s="1"/>
      <c r="CR150" s="1"/>
      <c r="CS150" s="1"/>
      <c r="CT150" s="1"/>
      <c r="CU150" s="1"/>
    </row>
    <row r="151" spans="1:99" s="211" customFormat="1" x14ac:dyDescent="0.25">
      <c r="A151" s="146">
        <v>42160</v>
      </c>
      <c r="B151" s="146"/>
      <c r="C151" s="212" t="s">
        <v>548</v>
      </c>
      <c r="D151" s="213" t="s">
        <v>106</v>
      </c>
      <c r="E151" s="214" t="s">
        <v>439</v>
      </c>
      <c r="F151" s="215" t="s">
        <v>549</v>
      </c>
      <c r="G151" s="215"/>
      <c r="H151" s="215"/>
      <c r="I151" s="215"/>
      <c r="J151" s="213" t="s">
        <v>419</v>
      </c>
      <c r="K151" s="212" t="s">
        <v>550</v>
      </c>
      <c r="L151" s="213"/>
      <c r="M151" s="213"/>
      <c r="N151" s="25"/>
      <c r="O151" s="26"/>
      <c r="P151" s="26"/>
      <c r="Q151" s="2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5"/>
      <c r="AO151" s="33"/>
      <c r="AP151" s="25">
        <v>93007</v>
      </c>
      <c r="AQ151" s="33" t="s">
        <v>548</v>
      </c>
      <c r="AR151" s="212"/>
      <c r="AS151" s="33"/>
      <c r="AT151" s="25"/>
      <c r="AU151" s="25" t="s">
        <v>551</v>
      </c>
      <c r="AV151" s="213"/>
      <c r="AW151" s="41"/>
      <c r="AX151" s="213"/>
      <c r="AY151" s="213"/>
      <c r="AZ151" s="213"/>
      <c r="BA151" s="213" t="s">
        <v>552</v>
      </c>
      <c r="BB151" s="213" t="s">
        <v>548</v>
      </c>
      <c r="BC151" s="213"/>
      <c r="BD151" s="213"/>
      <c r="BE151" s="212"/>
      <c r="BF151" s="213" t="s">
        <v>553</v>
      </c>
      <c r="BG151" s="213"/>
      <c r="BH151" s="213"/>
      <c r="BI151" s="213"/>
      <c r="BJ151" s="25" t="s">
        <v>554</v>
      </c>
      <c r="BK151" s="217">
        <v>17.350000000000001</v>
      </c>
      <c r="BL151" s="218" t="s">
        <v>555</v>
      </c>
      <c r="BM151" s="219">
        <v>10038568742527</v>
      </c>
      <c r="BN151" s="93">
        <v>11.34</v>
      </c>
      <c r="BO151" s="93">
        <v>7.05</v>
      </c>
      <c r="BP151" s="93">
        <v>2.2799999999999998</v>
      </c>
      <c r="BQ151" s="38"/>
      <c r="BR151" s="38"/>
      <c r="BS151" s="38"/>
      <c r="BT151" s="94">
        <f>7+(0.018*2)</f>
        <v>7.0359999999999996</v>
      </c>
      <c r="BU151" s="94">
        <f>2.5+(0.018*2)</f>
        <v>2.536</v>
      </c>
      <c r="BV151" s="94">
        <f>11.75+(0.018*4)</f>
        <v>11.821999999999999</v>
      </c>
      <c r="BW151" s="92">
        <f t="shared" si="35"/>
        <v>0.12207375307407406</v>
      </c>
      <c r="BX151" s="94">
        <f>0.7+0.1</f>
        <v>0.79999999999999993</v>
      </c>
      <c r="BY151" s="221">
        <f>12+(0.125*2)</f>
        <v>12.25</v>
      </c>
      <c r="BZ151" s="221">
        <f>7.25+(0.125*2)</f>
        <v>7.5</v>
      </c>
      <c r="CA151" s="221">
        <f>8+(0.125*4)</f>
        <v>8.5</v>
      </c>
      <c r="CB151" s="92">
        <f t="shared" si="37"/>
        <v>0.4519314236111111</v>
      </c>
      <c r="CC151" s="94">
        <f>(BX151*3)+0.25</f>
        <v>2.65</v>
      </c>
      <c r="CD151" s="302"/>
      <c r="CE151" s="302"/>
      <c r="CF151" s="213" t="s">
        <v>164</v>
      </c>
      <c r="CG151" s="213">
        <v>3</v>
      </c>
      <c r="CH151" s="213">
        <v>13</v>
      </c>
      <c r="CI151" s="213">
        <v>5</v>
      </c>
      <c r="CJ151" s="27">
        <f t="shared" si="38"/>
        <v>195</v>
      </c>
      <c r="CK151" s="27">
        <f t="shared" si="36"/>
        <v>222.24999999999997</v>
      </c>
      <c r="CL151" s="213" t="s">
        <v>140</v>
      </c>
      <c r="CM151" s="27" t="s">
        <v>137</v>
      </c>
      <c r="CN151" s="210"/>
      <c r="CO151" s="210"/>
      <c r="CP151" s="1"/>
      <c r="CQ151" s="1"/>
      <c r="CR151" s="1"/>
      <c r="CS151" s="1"/>
      <c r="CT151" s="1"/>
      <c r="CU151" s="1"/>
    </row>
    <row r="152" spans="1:99" s="211" customFormat="1" x14ac:dyDescent="0.25">
      <c r="A152" s="146">
        <v>42160</v>
      </c>
      <c r="B152" s="146"/>
      <c r="C152" s="212" t="s">
        <v>357</v>
      </c>
      <c r="D152" s="213" t="s">
        <v>106</v>
      </c>
      <c r="E152" s="214" t="s">
        <v>439</v>
      </c>
      <c r="F152" s="215" t="s">
        <v>556</v>
      </c>
      <c r="G152" s="215"/>
      <c r="H152" s="215"/>
      <c r="I152" s="215"/>
      <c r="J152" s="213" t="s">
        <v>169</v>
      </c>
      <c r="K152" s="212" t="s">
        <v>557</v>
      </c>
      <c r="L152" s="213"/>
      <c r="M152" s="213"/>
      <c r="N152" s="25"/>
      <c r="O152" s="26"/>
      <c r="P152" s="26"/>
      <c r="Q152" s="2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5"/>
      <c r="AO152" s="33"/>
      <c r="AP152" s="25">
        <v>83074</v>
      </c>
      <c r="AQ152" s="33" t="s">
        <v>357</v>
      </c>
      <c r="AR152" s="212"/>
      <c r="AS152" s="33"/>
      <c r="AT152" s="25"/>
      <c r="AU152" s="41" t="s">
        <v>558</v>
      </c>
      <c r="AV152" s="213" t="s">
        <v>559</v>
      </c>
      <c r="AW152" s="41"/>
      <c r="AX152" s="213" t="s">
        <v>560</v>
      </c>
      <c r="AY152" s="213"/>
      <c r="AZ152" s="213"/>
      <c r="BA152" s="213"/>
      <c r="BB152" s="213" t="s">
        <v>357</v>
      </c>
      <c r="BC152" s="213"/>
      <c r="BD152" s="213">
        <v>9074</v>
      </c>
      <c r="BE152" s="212" t="s">
        <v>561</v>
      </c>
      <c r="BF152" s="213" t="s">
        <v>562</v>
      </c>
      <c r="BG152" s="213" t="s">
        <v>563</v>
      </c>
      <c r="BH152" s="213"/>
      <c r="BI152" s="213" t="s">
        <v>563</v>
      </c>
      <c r="BJ152" s="25">
        <v>49074</v>
      </c>
      <c r="BK152" s="217">
        <v>14.99</v>
      </c>
      <c r="BL152" s="218" t="s">
        <v>564</v>
      </c>
      <c r="BM152" s="219">
        <v>10038568742374</v>
      </c>
      <c r="BN152" s="93">
        <v>11.5</v>
      </c>
      <c r="BO152" s="93">
        <v>11.38</v>
      </c>
      <c r="BP152" s="93">
        <v>1.08</v>
      </c>
      <c r="BQ152" s="38"/>
      <c r="BR152" s="38"/>
      <c r="BS152" s="38"/>
      <c r="BT152" s="94">
        <f>11.5+(0.018*2)</f>
        <v>11.536</v>
      </c>
      <c r="BU152" s="94">
        <f>2+(0.018*2)</f>
        <v>2.036</v>
      </c>
      <c r="BV152" s="94">
        <f>11.5+(0.018*4)</f>
        <v>11.571999999999999</v>
      </c>
      <c r="BW152" s="92">
        <f t="shared" si="35"/>
        <v>0.15728876696296296</v>
      </c>
      <c r="BX152" s="94">
        <f>0.661+0.1</f>
        <v>0.76100000000000001</v>
      </c>
      <c r="BY152" s="221">
        <f>16.12+(0.125*2)</f>
        <v>16.37</v>
      </c>
      <c r="BZ152" s="221">
        <f>12.25+(0.125*2)</f>
        <v>12.5</v>
      </c>
      <c r="CA152" s="221">
        <f>12.25+(0.125*4)</f>
        <v>12.75</v>
      </c>
      <c r="CB152" s="92">
        <f t="shared" si="37"/>
        <v>1.5098198784722223</v>
      </c>
      <c r="CC152" s="94">
        <f>(BX152*6)+0.25</f>
        <v>4.8159999999999998</v>
      </c>
      <c r="CD152" s="302"/>
      <c r="CE152" s="302"/>
      <c r="CF152" s="213" t="s">
        <v>164</v>
      </c>
      <c r="CG152" s="213">
        <v>6</v>
      </c>
      <c r="CH152" s="213">
        <v>12</v>
      </c>
      <c r="CI152" s="213">
        <v>3</v>
      </c>
      <c r="CJ152" s="27">
        <f t="shared" si="38"/>
        <v>216</v>
      </c>
      <c r="CK152" s="27">
        <f t="shared" si="36"/>
        <v>223.376</v>
      </c>
      <c r="CL152" s="213" t="s">
        <v>140</v>
      </c>
      <c r="CM152" s="27" t="s">
        <v>137</v>
      </c>
      <c r="CN152" s="210"/>
      <c r="CO152" s="210"/>
      <c r="CP152" s="1"/>
      <c r="CQ152" s="1"/>
      <c r="CR152" s="1"/>
      <c r="CS152" s="1"/>
      <c r="CT152" s="1"/>
      <c r="CU152" s="1"/>
    </row>
    <row r="153" spans="1:99" s="211" customFormat="1" x14ac:dyDescent="0.25">
      <c r="A153" s="146">
        <v>42160</v>
      </c>
      <c r="B153" s="146"/>
      <c r="C153" s="212" t="s">
        <v>565</v>
      </c>
      <c r="D153" s="213" t="s">
        <v>106</v>
      </c>
      <c r="E153" s="214" t="s">
        <v>439</v>
      </c>
      <c r="F153" s="215" t="s">
        <v>566</v>
      </c>
      <c r="G153" s="215"/>
      <c r="H153" s="215"/>
      <c r="I153" s="215"/>
      <c r="J153" s="213" t="s">
        <v>419</v>
      </c>
      <c r="K153" s="212" t="s">
        <v>567</v>
      </c>
      <c r="L153" s="213"/>
      <c r="M153" s="213"/>
      <c r="N153" s="25"/>
      <c r="O153" s="26"/>
      <c r="P153" s="26"/>
      <c r="Q153" s="2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5"/>
      <c r="AO153" s="33"/>
      <c r="AP153" s="25">
        <v>83593</v>
      </c>
      <c r="AQ153" s="33"/>
      <c r="AR153" s="212"/>
      <c r="AS153" s="33"/>
      <c r="AT153" s="25"/>
      <c r="AU153" s="41" t="s">
        <v>568</v>
      </c>
      <c r="AV153" s="213" t="s">
        <v>569</v>
      </c>
      <c r="AW153" s="41"/>
      <c r="AX153" s="213"/>
      <c r="AY153" s="213"/>
      <c r="AZ153" s="213"/>
      <c r="BA153" s="213" t="s">
        <v>570</v>
      </c>
      <c r="BB153" s="213"/>
      <c r="BC153" s="213"/>
      <c r="BD153" s="213">
        <v>9593</v>
      </c>
      <c r="BE153" s="212"/>
      <c r="BF153" s="213"/>
      <c r="BG153" s="213"/>
      <c r="BH153" s="213"/>
      <c r="BI153" s="213"/>
      <c r="BJ153" s="25">
        <v>49593</v>
      </c>
      <c r="BK153" s="217">
        <v>39.82</v>
      </c>
      <c r="BL153" s="218" t="s">
        <v>571</v>
      </c>
      <c r="BM153" s="219">
        <v>10038568742428</v>
      </c>
      <c r="BN153" s="93">
        <v>13.56</v>
      </c>
      <c r="BO153" s="93">
        <v>6.44</v>
      </c>
      <c r="BP153" s="93">
        <v>1.95</v>
      </c>
      <c r="BQ153" s="38"/>
      <c r="BR153" s="38"/>
      <c r="BS153" s="38"/>
      <c r="BT153" s="94">
        <f>6.5+(0.018*2)</f>
        <v>6.5359999999999996</v>
      </c>
      <c r="BU153" s="94">
        <f>1.75+(0.018*2)</f>
        <v>1.786</v>
      </c>
      <c r="BV153" s="94">
        <f>13.25+(0.018*4)</f>
        <v>13.321999999999999</v>
      </c>
      <c r="BW153" s="92">
        <f t="shared" si="35"/>
        <v>8.9995167425925907E-2</v>
      </c>
      <c r="BX153" s="94">
        <f>0.549+0.1</f>
        <v>0.64900000000000002</v>
      </c>
      <c r="BY153" s="221">
        <f>13.75+(0.125*2)</f>
        <v>14</v>
      </c>
      <c r="BZ153" s="221">
        <f>7+(0.125*2)</f>
        <v>7.25</v>
      </c>
      <c r="CA153" s="221">
        <f>6+(0.125*4)</f>
        <v>6.5</v>
      </c>
      <c r="CB153" s="92">
        <f t="shared" si="37"/>
        <v>0.38179976851851855</v>
      </c>
      <c r="CC153" s="94">
        <f>(BX153*3)+0.25</f>
        <v>2.1970000000000001</v>
      </c>
      <c r="CD153" s="302"/>
      <c r="CE153" s="302"/>
      <c r="CF153" s="213" t="s">
        <v>164</v>
      </c>
      <c r="CG153" s="213">
        <v>3</v>
      </c>
      <c r="CH153" s="213">
        <v>15</v>
      </c>
      <c r="CI153" s="213">
        <v>6</v>
      </c>
      <c r="CJ153" s="27">
        <f t="shared" si="38"/>
        <v>270</v>
      </c>
      <c r="CK153" s="27">
        <f t="shared" si="36"/>
        <v>247.73</v>
      </c>
      <c r="CL153" s="213" t="s">
        <v>322</v>
      </c>
      <c r="CM153" s="27" t="s">
        <v>137</v>
      </c>
      <c r="CN153" s="210"/>
      <c r="CO153" s="210"/>
      <c r="CP153" s="1"/>
      <c r="CQ153" s="1"/>
      <c r="CR153" s="1"/>
      <c r="CS153" s="1"/>
      <c r="CT153" s="1"/>
      <c r="CU153" s="1"/>
    </row>
    <row r="154" spans="1:99" s="211" customFormat="1" x14ac:dyDescent="0.25">
      <c r="A154" s="146">
        <v>42160</v>
      </c>
      <c r="B154" s="146"/>
      <c r="C154" s="212" t="s">
        <v>572</v>
      </c>
      <c r="D154" s="213" t="s">
        <v>106</v>
      </c>
      <c r="E154" s="214" t="s">
        <v>439</v>
      </c>
      <c r="F154" s="215" t="s">
        <v>573</v>
      </c>
      <c r="G154" s="215"/>
      <c r="H154" s="215"/>
      <c r="I154" s="215"/>
      <c r="J154" s="213" t="s">
        <v>130</v>
      </c>
      <c r="K154" s="212">
        <v>1560940504</v>
      </c>
      <c r="L154" s="213"/>
      <c r="M154" s="213"/>
      <c r="N154" s="25"/>
      <c r="O154" s="26"/>
      <c r="P154" s="26"/>
      <c r="Q154" s="2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5"/>
      <c r="AO154" s="33"/>
      <c r="AP154" s="25">
        <v>83504</v>
      </c>
      <c r="AQ154" s="33"/>
      <c r="AR154" s="212"/>
      <c r="AS154" s="33"/>
      <c r="AT154" s="25"/>
      <c r="AU154" s="41" t="s">
        <v>574</v>
      </c>
      <c r="AV154" s="213" t="s">
        <v>575</v>
      </c>
      <c r="AW154" s="41"/>
      <c r="AX154" s="213" t="s">
        <v>576</v>
      </c>
      <c r="AY154" s="213"/>
      <c r="AZ154" s="213"/>
      <c r="BA154" s="213" t="s">
        <v>577</v>
      </c>
      <c r="BB154" s="213"/>
      <c r="BC154" s="213"/>
      <c r="BD154" s="213">
        <v>9504</v>
      </c>
      <c r="BE154" s="212" t="s">
        <v>578</v>
      </c>
      <c r="BF154" s="213"/>
      <c r="BG154" s="213"/>
      <c r="BH154" s="213"/>
      <c r="BI154" s="213"/>
      <c r="BJ154" s="25">
        <v>49504</v>
      </c>
      <c r="BK154" s="217">
        <v>32.71</v>
      </c>
      <c r="BL154" s="218" t="s">
        <v>579</v>
      </c>
      <c r="BM154" s="219">
        <v>10038568742503</v>
      </c>
      <c r="BN154" s="93">
        <v>12.32</v>
      </c>
      <c r="BO154" s="93">
        <v>6.2</v>
      </c>
      <c r="BP154" s="93">
        <v>0.98</v>
      </c>
      <c r="BQ154" s="38"/>
      <c r="BR154" s="38"/>
      <c r="BS154" s="38"/>
      <c r="BT154" s="94">
        <f>7+(0.018*2)</f>
        <v>7.0359999999999996</v>
      </c>
      <c r="BU154" s="94">
        <f>2.5+(0.018*2)</f>
        <v>2.536</v>
      </c>
      <c r="BV154" s="94">
        <f>11.75+(0.018*4)</f>
        <v>11.821999999999999</v>
      </c>
      <c r="BW154" s="92">
        <f t="shared" si="35"/>
        <v>0.12207375307407406</v>
      </c>
      <c r="BX154" s="94">
        <f>0.26+0.1</f>
        <v>0.36</v>
      </c>
      <c r="BY154" s="221">
        <f>12+(0.125*2)</f>
        <v>12.25</v>
      </c>
      <c r="BZ154" s="221">
        <f>7.25+(0.125*2)</f>
        <v>7.5</v>
      </c>
      <c r="CA154" s="221">
        <f>8+(0.125*4)</f>
        <v>8.5</v>
      </c>
      <c r="CB154" s="92">
        <f t="shared" si="37"/>
        <v>0.4519314236111111</v>
      </c>
      <c r="CC154" s="94">
        <f>(BX154*3)+0.25</f>
        <v>1.33</v>
      </c>
      <c r="CD154" s="302"/>
      <c r="CE154" s="302"/>
      <c r="CF154" s="213" t="s">
        <v>164</v>
      </c>
      <c r="CG154" s="213">
        <v>3</v>
      </c>
      <c r="CH154" s="213">
        <v>15</v>
      </c>
      <c r="CI154" s="213">
        <v>6</v>
      </c>
      <c r="CJ154" s="27">
        <f t="shared" si="38"/>
        <v>270</v>
      </c>
      <c r="CK154" s="27">
        <f t="shared" si="36"/>
        <v>169.70000000000002</v>
      </c>
      <c r="CL154" s="213" t="s">
        <v>322</v>
      </c>
      <c r="CM154" s="27" t="s">
        <v>137</v>
      </c>
      <c r="CN154" s="210"/>
      <c r="CO154" s="210"/>
      <c r="CP154" s="1"/>
      <c r="CQ154" s="1"/>
      <c r="CR154" s="1"/>
      <c r="CS154" s="1"/>
      <c r="CT154" s="1"/>
      <c r="CU154" s="1"/>
    </row>
    <row r="155" spans="1:99" s="211" customFormat="1" x14ac:dyDescent="0.25">
      <c r="A155" s="146">
        <v>42130</v>
      </c>
      <c r="B155" s="146"/>
      <c r="C155" s="212" t="s">
        <v>580</v>
      </c>
      <c r="D155" s="214" t="s">
        <v>581</v>
      </c>
      <c r="E155" s="214" t="s">
        <v>582</v>
      </c>
      <c r="F155" s="215" t="s">
        <v>583</v>
      </c>
      <c r="G155" s="215"/>
      <c r="H155" s="215"/>
      <c r="I155" s="215"/>
      <c r="J155" s="213" t="s">
        <v>108</v>
      </c>
      <c r="K155" s="212">
        <v>95021102</v>
      </c>
      <c r="L155" s="213"/>
      <c r="M155" s="213"/>
      <c r="N155" s="25"/>
      <c r="O155" s="26"/>
      <c r="P155" s="26"/>
      <c r="Q155" s="2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5"/>
      <c r="AO155" s="33"/>
      <c r="AP155" s="25"/>
      <c r="AQ155" s="33"/>
      <c r="AR155" s="212"/>
      <c r="AS155" s="33"/>
      <c r="AT155" s="25"/>
      <c r="AU155" s="25" t="s">
        <v>584</v>
      </c>
      <c r="AV155" s="213"/>
      <c r="AW155" s="41"/>
      <c r="AX155" s="213"/>
      <c r="AY155" s="213"/>
      <c r="AZ155" s="213"/>
      <c r="BA155" s="213"/>
      <c r="BB155" s="213"/>
      <c r="BC155" s="213"/>
      <c r="BD155" s="213"/>
      <c r="BE155" s="212"/>
      <c r="BF155" s="213"/>
      <c r="BG155" s="213"/>
      <c r="BH155" s="213"/>
      <c r="BI155" s="213"/>
      <c r="BJ155" s="25"/>
      <c r="BK155" s="217">
        <v>19.59</v>
      </c>
      <c r="BL155" s="218" t="s">
        <v>585</v>
      </c>
      <c r="BM155" s="219">
        <v>10038568742404</v>
      </c>
      <c r="BN155" s="93">
        <v>9</v>
      </c>
      <c r="BO155" s="93">
        <v>6.26</v>
      </c>
      <c r="BP155" s="93">
        <v>2.2599999999999998</v>
      </c>
      <c r="BQ155" s="38"/>
      <c r="BR155" s="38"/>
      <c r="BS155" s="38"/>
      <c r="BT155" s="94">
        <f>7+(0.018*2)</f>
        <v>7.0359999999999996</v>
      </c>
      <c r="BU155" s="94">
        <f>2.5+(0.018*2)</f>
        <v>2.536</v>
      </c>
      <c r="BV155" s="94">
        <f>11.75+(0.018*4)</f>
        <v>11.821999999999999</v>
      </c>
      <c r="BW155" s="92">
        <f t="shared" si="35"/>
        <v>0.12207375307407406</v>
      </c>
      <c r="BX155" s="94">
        <f>0.412+0.1</f>
        <v>0.51200000000000001</v>
      </c>
      <c r="BY155" s="221">
        <f>12+(0.125*2)</f>
        <v>12.25</v>
      </c>
      <c r="BZ155" s="221">
        <f>7.25+(0.125*2)</f>
        <v>7.5</v>
      </c>
      <c r="CA155" s="221">
        <f>8+(0.125*4)</f>
        <v>8.5</v>
      </c>
      <c r="CB155" s="92">
        <f>(CA155*BZ155*BY155)/1728</f>
        <v>0.4519314236111111</v>
      </c>
      <c r="CC155" s="94">
        <f>(BX155*3)+0.25</f>
        <v>1.786</v>
      </c>
      <c r="CD155" s="302"/>
      <c r="CE155" s="302"/>
      <c r="CF155" s="213" t="s">
        <v>164</v>
      </c>
      <c r="CG155" s="213">
        <v>3</v>
      </c>
      <c r="CH155" s="213">
        <v>20</v>
      </c>
      <c r="CI155" s="213">
        <v>5</v>
      </c>
      <c r="CJ155" s="27">
        <f>CG155*CH155*CI155</f>
        <v>300</v>
      </c>
      <c r="CK155" s="27">
        <f>(CC155*CH155*CI155)+50</f>
        <v>228.6</v>
      </c>
      <c r="CL155" s="213" t="s">
        <v>136</v>
      </c>
      <c r="CM155" s="27" t="s">
        <v>137</v>
      </c>
      <c r="CN155" s="210"/>
      <c r="CO155" s="210"/>
      <c r="CP155" s="1"/>
      <c r="CQ155" s="1"/>
      <c r="CR155" s="1"/>
      <c r="CS155" s="1"/>
      <c r="CT155" s="1"/>
      <c r="CU155" s="1"/>
    </row>
    <row r="156" spans="1:99" s="211" customFormat="1" x14ac:dyDescent="0.25">
      <c r="A156" s="146">
        <v>42130</v>
      </c>
      <c r="B156" s="146"/>
      <c r="C156" s="212" t="s">
        <v>586</v>
      </c>
      <c r="D156" s="214" t="s">
        <v>581</v>
      </c>
      <c r="E156" s="214" t="s">
        <v>582</v>
      </c>
      <c r="F156" s="215" t="s">
        <v>587</v>
      </c>
      <c r="G156" s="215"/>
      <c r="H156" s="215"/>
      <c r="I156" s="215"/>
      <c r="J156" s="213" t="s">
        <v>270</v>
      </c>
      <c r="K156" s="212" t="s">
        <v>588</v>
      </c>
      <c r="L156" s="213"/>
      <c r="M156" s="213"/>
      <c r="N156" s="25"/>
      <c r="O156" s="26"/>
      <c r="P156" s="26"/>
      <c r="Q156" s="2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5"/>
      <c r="AO156" s="33"/>
      <c r="AP156" s="25"/>
      <c r="AQ156" s="33"/>
      <c r="AR156" s="212"/>
      <c r="AS156" s="33"/>
      <c r="AT156" s="25"/>
      <c r="AU156" s="25" t="s">
        <v>589</v>
      </c>
      <c r="AV156" s="213"/>
      <c r="AW156" s="41"/>
      <c r="AX156" s="213"/>
      <c r="AY156" s="213"/>
      <c r="AZ156" s="213"/>
      <c r="BA156" s="213"/>
      <c r="BB156" s="213"/>
      <c r="BC156" s="213"/>
      <c r="BD156" s="213"/>
      <c r="BE156" s="212"/>
      <c r="BF156" s="213"/>
      <c r="BG156" s="213"/>
      <c r="BH156" s="213"/>
      <c r="BI156" s="213"/>
      <c r="BJ156" s="25"/>
      <c r="BK156" s="217">
        <v>19.86</v>
      </c>
      <c r="BL156" s="218" t="s">
        <v>590</v>
      </c>
      <c r="BM156" s="219">
        <v>10038568742336</v>
      </c>
      <c r="BN156" s="93">
        <v>11.67</v>
      </c>
      <c r="BO156" s="93">
        <v>6.48</v>
      </c>
      <c r="BP156" s="93">
        <v>2.09</v>
      </c>
      <c r="BQ156" s="38"/>
      <c r="BR156" s="38"/>
      <c r="BS156" s="38"/>
      <c r="BT156" s="94">
        <f>7+(0.018*2)</f>
        <v>7.0359999999999996</v>
      </c>
      <c r="BU156" s="94">
        <f>2.5+(0.018*2)</f>
        <v>2.536</v>
      </c>
      <c r="BV156" s="94">
        <f>11.75+(0.018*4)</f>
        <v>11.821999999999999</v>
      </c>
      <c r="BW156" s="92">
        <f t="shared" si="35"/>
        <v>0.12207375307407406</v>
      </c>
      <c r="BX156" s="94">
        <f>0.7+0.1</f>
        <v>0.79999999999999993</v>
      </c>
      <c r="BY156" s="221">
        <f>12+(0.125*2)</f>
        <v>12.25</v>
      </c>
      <c r="BZ156" s="221">
        <f>7.25+(0.125*2)</f>
        <v>7.5</v>
      </c>
      <c r="CA156" s="221">
        <f>8+(0.125*4)</f>
        <v>8.5</v>
      </c>
      <c r="CB156" s="92">
        <f>(CA156*BZ156*BY156)/1728</f>
        <v>0.4519314236111111</v>
      </c>
      <c r="CC156" s="94">
        <f>(BX156*3)+0.25</f>
        <v>2.65</v>
      </c>
      <c r="CD156" s="302"/>
      <c r="CE156" s="302"/>
      <c r="CF156" s="213" t="s">
        <v>164</v>
      </c>
      <c r="CG156" s="213">
        <v>3</v>
      </c>
      <c r="CH156" s="213">
        <v>20</v>
      </c>
      <c r="CI156" s="213">
        <v>5</v>
      </c>
      <c r="CJ156" s="27">
        <f>CG156*CH156*CI156</f>
        <v>300</v>
      </c>
      <c r="CK156" s="27">
        <f>(CC156*CH156*CI156)+50</f>
        <v>315</v>
      </c>
      <c r="CL156" s="213" t="s">
        <v>322</v>
      </c>
      <c r="CM156" s="27" t="s">
        <v>137</v>
      </c>
      <c r="CN156" s="210"/>
      <c r="CO156" s="210"/>
      <c r="CP156" s="1"/>
      <c r="CQ156" s="1"/>
      <c r="CR156" s="1"/>
      <c r="CS156" s="1"/>
      <c r="CT156" s="1"/>
      <c r="CU156" s="1"/>
    </row>
    <row r="157" spans="1:99" s="211" customFormat="1" ht="45" x14ac:dyDescent="0.25">
      <c r="A157" s="146">
        <v>42130</v>
      </c>
      <c r="B157" s="146"/>
      <c r="C157" s="212" t="s">
        <v>591</v>
      </c>
      <c r="D157" s="214" t="s">
        <v>54</v>
      </c>
      <c r="E157" s="214" t="s">
        <v>592</v>
      </c>
      <c r="F157" s="222" t="s">
        <v>593</v>
      </c>
      <c r="G157" s="222"/>
      <c r="H157" s="222"/>
      <c r="I157" s="222"/>
      <c r="J157" s="213"/>
      <c r="K157" s="212"/>
      <c r="L157" s="213"/>
      <c r="M157" s="213"/>
      <c r="N157" s="25"/>
      <c r="O157" s="26"/>
      <c r="P157" s="26"/>
      <c r="Q157" s="2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5"/>
      <c r="AO157" s="33"/>
      <c r="AP157" s="25"/>
      <c r="AQ157" s="33"/>
      <c r="AR157" s="212"/>
      <c r="AS157" s="33"/>
      <c r="AT157" s="25"/>
      <c r="AU157" s="41"/>
      <c r="AV157" s="213"/>
      <c r="AW157" s="41"/>
      <c r="AX157" s="213"/>
      <c r="AY157" s="213"/>
      <c r="AZ157" s="213"/>
      <c r="BA157" s="213"/>
      <c r="BB157" s="213"/>
      <c r="BC157" s="213"/>
      <c r="BD157" s="213"/>
      <c r="BE157" s="212"/>
      <c r="BF157" s="213"/>
      <c r="BG157" s="213"/>
      <c r="BH157" s="213"/>
      <c r="BI157" s="213"/>
      <c r="BJ157" s="25"/>
      <c r="BK157" s="217">
        <v>109.42</v>
      </c>
      <c r="BL157" s="218" t="s">
        <v>594</v>
      </c>
      <c r="BM157" s="219">
        <v>10038568742909</v>
      </c>
      <c r="BN157" s="38"/>
      <c r="BO157" s="38"/>
      <c r="BP157" s="38"/>
      <c r="BQ157" s="38"/>
      <c r="BR157" s="38"/>
      <c r="BS157" s="38"/>
      <c r="BT157" s="519" t="s">
        <v>356</v>
      </c>
      <c r="BU157" s="519"/>
      <c r="BV157" s="519"/>
      <c r="BW157" s="519"/>
      <c r="BX157" s="519"/>
      <c r="BY157" s="221">
        <f>12.75+(0.125*2)</f>
        <v>13</v>
      </c>
      <c r="BZ157" s="221">
        <f>8.62+(0.125*2)</f>
        <v>8.8699999999999992</v>
      </c>
      <c r="CA157" s="221">
        <f>11.5+(0.125*4)</f>
        <v>12</v>
      </c>
      <c r="CB157" s="92">
        <f t="shared" ref="CB157" si="39">(CA157*BZ157*BY157)/1728</f>
        <v>0.80076388888888894</v>
      </c>
      <c r="CC157" s="94">
        <f>11.78+0.25</f>
        <v>12.03</v>
      </c>
      <c r="CD157" s="302"/>
      <c r="CE157" s="302"/>
      <c r="CF157" s="213" t="s">
        <v>164</v>
      </c>
      <c r="CG157" s="213">
        <v>1</v>
      </c>
      <c r="CH157" s="213">
        <v>15</v>
      </c>
      <c r="CI157" s="213">
        <v>3</v>
      </c>
      <c r="CJ157" s="27">
        <f t="shared" ref="CJ157" si="40">CG157*CH157*CI157</f>
        <v>45</v>
      </c>
      <c r="CK157" s="27">
        <f t="shared" ref="CK157" si="41">(CC157*CH157*CI157)+50</f>
        <v>591.34999999999991</v>
      </c>
      <c r="CL157" s="215" t="s">
        <v>595</v>
      </c>
      <c r="CM157" s="27" t="s">
        <v>137</v>
      </c>
      <c r="CN157" s="210"/>
      <c r="CO157" s="210"/>
      <c r="CP157" s="1"/>
      <c r="CQ157" s="1"/>
      <c r="CR157" s="1"/>
      <c r="CS157" s="1"/>
      <c r="CT157" s="1"/>
      <c r="CU157" s="1"/>
    </row>
    <row r="158" spans="1:99" s="211" customFormat="1" x14ac:dyDescent="0.25">
      <c r="A158" s="146">
        <v>42109</v>
      </c>
      <c r="B158" s="146"/>
      <c r="C158" s="223" t="s">
        <v>596</v>
      </c>
      <c r="D158" s="214" t="s">
        <v>89</v>
      </c>
      <c r="E158" s="214" t="s">
        <v>582</v>
      </c>
      <c r="F158" s="222" t="s">
        <v>597</v>
      </c>
      <c r="G158" s="222"/>
      <c r="H158" s="222"/>
      <c r="I158" s="222"/>
      <c r="J158" s="213" t="s">
        <v>91</v>
      </c>
      <c r="K158" s="212" t="s">
        <v>598</v>
      </c>
      <c r="L158" s="213" t="s">
        <v>47</v>
      </c>
      <c r="M158" s="213" t="s">
        <v>599</v>
      </c>
      <c r="N158" s="25"/>
      <c r="O158" s="26"/>
      <c r="P158" s="26"/>
      <c r="Q158" s="2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5"/>
      <c r="AO158" s="33"/>
      <c r="AP158" s="25"/>
      <c r="AQ158" s="33"/>
      <c r="AR158" s="212"/>
      <c r="AS158" s="33"/>
      <c r="AT158" s="25"/>
      <c r="AU158" s="41" t="s">
        <v>600</v>
      </c>
      <c r="AV158" s="213"/>
      <c r="AW158" s="41" t="s">
        <v>601</v>
      </c>
      <c r="AX158" s="213"/>
      <c r="AY158" s="213"/>
      <c r="AZ158" s="213"/>
      <c r="BA158" s="213"/>
      <c r="BB158" s="213"/>
      <c r="BC158" s="213" t="s">
        <v>599</v>
      </c>
      <c r="BD158" s="213"/>
      <c r="BE158" s="212" t="s">
        <v>602</v>
      </c>
      <c r="BF158" s="213"/>
      <c r="BG158" s="213"/>
      <c r="BH158" s="213"/>
      <c r="BI158" s="213" t="s">
        <v>603</v>
      </c>
      <c r="BJ158" s="25"/>
      <c r="BK158" s="217">
        <v>16.350000000000001</v>
      </c>
      <c r="BL158" s="218" t="s">
        <v>604</v>
      </c>
      <c r="BM158" s="219">
        <v>10038568316032</v>
      </c>
      <c r="BN158" s="93">
        <v>9.65</v>
      </c>
      <c r="BO158" s="93">
        <v>7.8</v>
      </c>
      <c r="BP158" s="93">
        <v>2.2400000000000002</v>
      </c>
      <c r="BQ158" s="38"/>
      <c r="BR158" s="38"/>
      <c r="BS158" s="38"/>
      <c r="BT158" s="94">
        <f>9.75+(0.018*2)</f>
        <v>9.7859999999999996</v>
      </c>
      <c r="BU158" s="94">
        <f>2.31+(0.018*2)</f>
        <v>2.3460000000000001</v>
      </c>
      <c r="BV158" s="94">
        <f>9.75+(0.018*4)</f>
        <v>9.8219999999999992</v>
      </c>
      <c r="BW158" s="92">
        <f t="shared" ref="BW158" si="42">(BV158*BU158*BT158)/1728</f>
        <v>0.13049365962499998</v>
      </c>
      <c r="BX158" s="94">
        <f>0.54+0.1</f>
        <v>0.64</v>
      </c>
      <c r="BY158" s="221">
        <f>14.25+(0.125*2)</f>
        <v>14.5</v>
      </c>
      <c r="BZ158" s="221">
        <f>9.87+(0.125*2)</f>
        <v>10.119999999999999</v>
      </c>
      <c r="CA158" s="221">
        <f>9.87+(0.125*4)</f>
        <v>10.37</v>
      </c>
      <c r="CB158" s="92">
        <f>(CA158*BZ158*BY158)/1728</f>
        <v>0.88060983796296288</v>
      </c>
      <c r="CC158" s="94">
        <f>(BX158*6)+0.25</f>
        <v>4.09</v>
      </c>
      <c r="CD158" s="302"/>
      <c r="CE158" s="302"/>
      <c r="CF158" s="213" t="s">
        <v>164</v>
      </c>
      <c r="CG158" s="213">
        <v>6</v>
      </c>
      <c r="CH158" s="213">
        <v>11</v>
      </c>
      <c r="CI158" s="213">
        <v>3</v>
      </c>
      <c r="CJ158" s="27">
        <f>CG158*CH158*CI158</f>
        <v>198</v>
      </c>
      <c r="CK158" s="27">
        <f>(CC158*CH158*CI158)+50</f>
        <v>184.96999999999997</v>
      </c>
      <c r="CL158" s="213" t="s">
        <v>136</v>
      </c>
      <c r="CM158" s="27" t="s">
        <v>137</v>
      </c>
      <c r="CN158" s="210"/>
      <c r="CO158" s="210"/>
      <c r="CP158" s="1"/>
      <c r="CQ158" s="1"/>
      <c r="CR158" s="1"/>
      <c r="CS158" s="1"/>
      <c r="CT158" s="1"/>
      <c r="CU158" s="1"/>
    </row>
    <row r="159" spans="1:99" s="211" customFormat="1" x14ac:dyDescent="0.25">
      <c r="A159" s="146">
        <v>42109</v>
      </c>
      <c r="B159" s="146"/>
      <c r="C159" s="223" t="s">
        <v>605</v>
      </c>
      <c r="D159" s="214" t="s">
        <v>54</v>
      </c>
      <c r="E159" s="214" t="s">
        <v>606</v>
      </c>
      <c r="F159" s="222" t="s">
        <v>607</v>
      </c>
      <c r="G159" s="222"/>
      <c r="H159" s="222"/>
      <c r="I159" s="222"/>
      <c r="J159" s="213" t="s">
        <v>351</v>
      </c>
      <c r="K159" s="213" t="s">
        <v>608</v>
      </c>
      <c r="L159" s="213" t="s">
        <v>351</v>
      </c>
      <c r="M159" s="213" t="s">
        <v>609</v>
      </c>
      <c r="N159" s="25"/>
      <c r="O159" s="26"/>
      <c r="P159" s="26"/>
      <c r="Q159" s="2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5" t="s">
        <v>610</v>
      </c>
      <c r="AO159" s="33"/>
      <c r="AP159" s="25"/>
      <c r="AQ159" s="33"/>
      <c r="AR159" s="212"/>
      <c r="AS159" s="33" t="s">
        <v>611</v>
      </c>
      <c r="AT159" s="25" t="s">
        <v>612</v>
      </c>
      <c r="AU159" s="25" t="s">
        <v>613</v>
      </c>
      <c r="AV159" s="120"/>
      <c r="AW159" s="31"/>
      <c r="AX159" s="31"/>
      <c r="AY159" s="31"/>
      <c r="AZ159" s="31"/>
      <c r="BA159" s="31"/>
      <c r="BB159" s="31"/>
      <c r="BC159" s="31"/>
      <c r="BD159" s="224"/>
      <c r="BE159" s="212"/>
      <c r="BF159" s="31"/>
      <c r="BG159" s="31"/>
      <c r="BH159" s="31"/>
      <c r="BI159" s="31"/>
      <c r="BJ159" s="25">
        <v>33753</v>
      </c>
      <c r="BK159" s="171">
        <v>32.479999999999997</v>
      </c>
      <c r="BL159" s="218" t="s">
        <v>614</v>
      </c>
      <c r="BM159" s="219">
        <v>10038568738261</v>
      </c>
      <c r="BN159" s="38"/>
      <c r="BO159" s="38"/>
      <c r="BP159" s="38"/>
      <c r="BQ159" s="225">
        <v>6.48</v>
      </c>
      <c r="BR159" s="225">
        <v>4.26</v>
      </c>
      <c r="BS159" s="225">
        <v>3.63</v>
      </c>
      <c r="BT159" s="519" t="s">
        <v>356</v>
      </c>
      <c r="BU159" s="519"/>
      <c r="BV159" s="519"/>
      <c r="BW159" s="519"/>
      <c r="BX159" s="519"/>
      <c r="BY159" s="221">
        <f>13.25+(0.125*2)</f>
        <v>13.5</v>
      </c>
      <c r="BZ159" s="221">
        <f>9+(0.125*2)</f>
        <v>9.25</v>
      </c>
      <c r="CA159" s="221">
        <f>6.75+(0.125*4)</f>
        <v>7.25</v>
      </c>
      <c r="CB159" s="92">
        <f t="shared" ref="CB159" si="43">(CA159*BZ159*BY159)/1728</f>
        <v>0.52392578125</v>
      </c>
      <c r="CC159" s="94">
        <f>(1.5*6)+0.25</f>
        <v>9.25</v>
      </c>
      <c r="CD159" s="302"/>
      <c r="CE159" s="302"/>
      <c r="CF159" s="213" t="s">
        <v>164</v>
      </c>
      <c r="CG159" s="213">
        <v>6</v>
      </c>
      <c r="CH159" s="213">
        <v>13</v>
      </c>
      <c r="CI159" s="213">
        <v>6</v>
      </c>
      <c r="CJ159" s="27">
        <f t="shared" ref="CJ159" si="44">CG159*CH159*CI159</f>
        <v>468</v>
      </c>
      <c r="CK159" s="27">
        <f t="shared" ref="CK159" si="45">(CC159*CH159*CI159)+50</f>
        <v>771.5</v>
      </c>
      <c r="CL159" s="213" t="s">
        <v>257</v>
      </c>
      <c r="CM159" s="27" t="s">
        <v>137</v>
      </c>
      <c r="CN159" s="210"/>
      <c r="CO159" s="210"/>
      <c r="CP159" s="1"/>
      <c r="CQ159" s="1"/>
      <c r="CR159" s="1"/>
      <c r="CS159" s="1"/>
      <c r="CT159" s="1"/>
      <c r="CU159" s="1"/>
    </row>
    <row r="160" spans="1:99" s="211" customFormat="1" ht="15" customHeight="1" x14ac:dyDescent="0.25">
      <c r="A160" s="146">
        <v>42083</v>
      </c>
      <c r="B160" s="146"/>
      <c r="C160" s="186" t="s">
        <v>615</v>
      </c>
      <c r="D160" s="214" t="s">
        <v>89</v>
      </c>
      <c r="E160" s="214" t="s">
        <v>582</v>
      </c>
      <c r="F160" s="215" t="s">
        <v>616</v>
      </c>
      <c r="G160" s="215"/>
      <c r="H160" s="215"/>
      <c r="I160" s="215"/>
      <c r="J160" s="213" t="s">
        <v>108</v>
      </c>
      <c r="K160" s="213">
        <v>25898499</v>
      </c>
      <c r="L160" s="226"/>
      <c r="M160" s="31"/>
      <c r="N160" s="25"/>
      <c r="O160" s="26"/>
      <c r="P160" s="26"/>
      <c r="Q160" s="2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5"/>
      <c r="AO160" s="33"/>
      <c r="AP160" s="25"/>
      <c r="AQ160" s="33"/>
      <c r="AR160" s="212"/>
      <c r="AS160" s="33"/>
      <c r="AT160" s="25"/>
      <c r="AU160" s="25" t="s">
        <v>617</v>
      </c>
      <c r="AV160" s="31"/>
      <c r="AW160" s="31"/>
      <c r="AX160" s="31"/>
      <c r="AY160" s="31"/>
      <c r="AZ160" s="31"/>
      <c r="BA160" s="31"/>
      <c r="BB160" s="31"/>
      <c r="BC160" s="31"/>
      <c r="BD160" s="224"/>
      <c r="BE160" s="31"/>
      <c r="BF160" s="31"/>
      <c r="BG160" s="31"/>
      <c r="BH160" s="31"/>
      <c r="BI160" s="31"/>
      <c r="BJ160" s="25"/>
      <c r="BK160" s="171">
        <v>69.739999999999995</v>
      </c>
      <c r="BL160" s="218" t="s">
        <v>618</v>
      </c>
      <c r="BM160" s="219">
        <v>10038568742398</v>
      </c>
      <c r="BN160" s="93">
        <v>11.32</v>
      </c>
      <c r="BO160" s="93">
        <v>9.31</v>
      </c>
      <c r="BP160" s="93">
        <v>1.97</v>
      </c>
      <c r="BQ160" s="38"/>
      <c r="BR160" s="36"/>
      <c r="BS160" s="36"/>
      <c r="BT160" s="94">
        <v>10.036</v>
      </c>
      <c r="BU160" s="94">
        <v>2.536</v>
      </c>
      <c r="BV160" s="94">
        <v>12.571999999999999</v>
      </c>
      <c r="BW160" s="92">
        <v>0.18516996140740738</v>
      </c>
      <c r="BX160" s="94">
        <v>0.753</v>
      </c>
      <c r="BY160" s="221">
        <v>13.25</v>
      </c>
      <c r="BZ160" s="221">
        <v>8.25</v>
      </c>
      <c r="CA160" s="221">
        <v>11.5</v>
      </c>
      <c r="CB160" s="92">
        <v>0.72748480902777779</v>
      </c>
      <c r="CC160" s="94">
        <v>2.5089999999999999</v>
      </c>
      <c r="CD160" s="302"/>
      <c r="CE160" s="302"/>
      <c r="CF160" s="213" t="s">
        <v>164</v>
      </c>
      <c r="CG160" s="213">
        <v>3</v>
      </c>
      <c r="CH160" s="213">
        <v>16</v>
      </c>
      <c r="CI160" s="213">
        <v>3</v>
      </c>
      <c r="CJ160" s="27">
        <v>144</v>
      </c>
      <c r="CK160" s="27">
        <v>170.43199999999999</v>
      </c>
      <c r="CL160" s="213" t="s">
        <v>322</v>
      </c>
      <c r="CM160" s="27" t="s">
        <v>137</v>
      </c>
      <c r="CN160" s="210"/>
      <c r="CO160" s="210"/>
      <c r="CP160" s="1"/>
      <c r="CQ160" s="1"/>
      <c r="CR160" s="1"/>
      <c r="CS160" s="1"/>
      <c r="CT160" s="1"/>
      <c r="CU160" s="1"/>
    </row>
    <row r="161" spans="1:99" s="211" customFormat="1" x14ac:dyDescent="0.25">
      <c r="A161" s="146">
        <v>42083</v>
      </c>
      <c r="B161" s="146"/>
      <c r="C161" s="186" t="s">
        <v>619</v>
      </c>
      <c r="D161" s="214" t="s">
        <v>89</v>
      </c>
      <c r="E161" s="214" t="s">
        <v>582</v>
      </c>
      <c r="F161" s="215" t="s">
        <v>620</v>
      </c>
      <c r="G161" s="215"/>
      <c r="H161" s="215"/>
      <c r="I161" s="215"/>
      <c r="J161" s="213" t="s">
        <v>125</v>
      </c>
      <c r="K161" s="213">
        <v>13717798342</v>
      </c>
      <c r="L161" s="226"/>
      <c r="M161" s="31"/>
      <c r="N161" s="25"/>
      <c r="O161" s="26"/>
      <c r="P161" s="26"/>
      <c r="Q161" s="2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5"/>
      <c r="AO161" s="33"/>
      <c r="AP161" s="25"/>
      <c r="AQ161" s="33"/>
      <c r="AR161" s="212"/>
      <c r="AS161" s="33"/>
      <c r="AT161" s="25"/>
      <c r="AU161" s="25" t="s">
        <v>621</v>
      </c>
      <c r="AV161" s="41" t="s">
        <v>622</v>
      </c>
      <c r="AW161" s="31"/>
      <c r="AX161" s="31"/>
      <c r="AY161" s="31"/>
      <c r="AZ161" s="31"/>
      <c r="BA161" s="31"/>
      <c r="BB161" s="31"/>
      <c r="BC161" s="31"/>
      <c r="BD161" s="224"/>
      <c r="BE161" s="31" t="s">
        <v>623</v>
      </c>
      <c r="BF161" s="31"/>
      <c r="BG161" s="31"/>
      <c r="BH161" s="31"/>
      <c r="BI161" s="31"/>
      <c r="BJ161" s="120" t="s">
        <v>624</v>
      </c>
      <c r="BK161" s="171">
        <v>46.6</v>
      </c>
      <c r="BL161" s="218" t="s">
        <v>625</v>
      </c>
      <c r="BM161" s="219">
        <v>10038568742411</v>
      </c>
      <c r="BN161" s="93">
        <v>12.68</v>
      </c>
      <c r="BO161" s="93">
        <v>10.02</v>
      </c>
      <c r="BP161" s="93">
        <v>2.17</v>
      </c>
      <c r="BQ161" s="38"/>
      <c r="BR161" s="38"/>
      <c r="BS161" s="38"/>
      <c r="BT161" s="94">
        <v>10.536</v>
      </c>
      <c r="BU161" s="94">
        <v>2.786</v>
      </c>
      <c r="BV161" s="94">
        <v>15.071999999999999</v>
      </c>
      <c r="BW161" s="92">
        <v>0.25602597066666666</v>
      </c>
      <c r="BX161" s="94">
        <v>1.171</v>
      </c>
      <c r="BY161" s="221">
        <v>15.68</v>
      </c>
      <c r="BZ161" s="221">
        <v>11.81</v>
      </c>
      <c r="CA161" s="221">
        <v>9.6199999999999992</v>
      </c>
      <c r="CB161" s="92">
        <v>1.0309255185185184</v>
      </c>
      <c r="CC161" s="94">
        <v>3.7629999999999999</v>
      </c>
      <c r="CD161" s="302"/>
      <c r="CE161" s="302"/>
      <c r="CF161" s="213" t="s">
        <v>164</v>
      </c>
      <c r="CG161" s="213">
        <v>3</v>
      </c>
      <c r="CH161" s="213">
        <v>10</v>
      </c>
      <c r="CI161" s="213">
        <v>4</v>
      </c>
      <c r="CJ161" s="27">
        <v>120</v>
      </c>
      <c r="CK161" s="27">
        <v>200.51999999999998</v>
      </c>
      <c r="CL161" s="213" t="s">
        <v>322</v>
      </c>
      <c r="CM161" s="27" t="s">
        <v>137</v>
      </c>
      <c r="CN161" s="210"/>
      <c r="CO161" s="210"/>
      <c r="CP161" s="1"/>
      <c r="CQ161" s="1"/>
      <c r="CR161" s="1"/>
      <c r="CS161" s="1"/>
      <c r="CT161" s="1"/>
      <c r="CU161" s="1"/>
    </row>
    <row r="162" spans="1:99" s="211" customFormat="1" x14ac:dyDescent="0.25">
      <c r="A162" s="146">
        <v>42083</v>
      </c>
      <c r="B162" s="146"/>
      <c r="C162" s="186" t="s">
        <v>626</v>
      </c>
      <c r="D162" s="214" t="s">
        <v>89</v>
      </c>
      <c r="E162" s="214" t="s">
        <v>582</v>
      </c>
      <c r="F162" s="215" t="s">
        <v>627</v>
      </c>
      <c r="G162" s="215"/>
      <c r="H162" s="215"/>
      <c r="I162" s="215"/>
      <c r="J162" s="213" t="s">
        <v>628</v>
      </c>
      <c r="K162" s="213" t="s">
        <v>629</v>
      </c>
      <c r="L162" s="226"/>
      <c r="M162" s="31"/>
      <c r="N162" s="25"/>
      <c r="O162" s="26"/>
      <c r="P162" s="26"/>
      <c r="Q162" s="2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5"/>
      <c r="AO162" s="33"/>
      <c r="AP162" s="25"/>
      <c r="AQ162" s="33"/>
      <c r="AR162" s="212"/>
      <c r="AS162" s="33"/>
      <c r="AT162" s="25"/>
      <c r="AU162" s="25" t="s">
        <v>630</v>
      </c>
      <c r="AV162" s="120"/>
      <c r="AW162" s="31"/>
      <c r="AX162" s="31"/>
      <c r="AY162" s="31"/>
      <c r="AZ162" s="31"/>
      <c r="BA162" s="31"/>
      <c r="BB162" s="31"/>
      <c r="BC162" s="31"/>
      <c r="BD162" s="224"/>
      <c r="BE162" s="31" t="s">
        <v>631</v>
      </c>
      <c r="BF162" s="31"/>
      <c r="BG162" s="31"/>
      <c r="BH162" s="31"/>
      <c r="BI162" s="31"/>
      <c r="BJ162" s="120" t="s">
        <v>632</v>
      </c>
      <c r="BK162" s="171">
        <v>21.67</v>
      </c>
      <c r="BL162" s="218" t="s">
        <v>633</v>
      </c>
      <c r="BM162" s="219">
        <v>10038568316056</v>
      </c>
      <c r="BN162" s="93">
        <v>11.22</v>
      </c>
      <c r="BO162" s="93">
        <v>6.46</v>
      </c>
      <c r="BP162" s="93">
        <v>2.11</v>
      </c>
      <c r="BQ162" s="38"/>
      <c r="BR162" s="38"/>
      <c r="BS162" s="38"/>
      <c r="BT162" s="94">
        <v>7.0359999999999996</v>
      </c>
      <c r="BU162" s="94">
        <v>2.536</v>
      </c>
      <c r="BV162" s="94">
        <v>11.821999999999999</v>
      </c>
      <c r="BW162" s="92">
        <v>0.12207375307407406</v>
      </c>
      <c r="BX162" s="94">
        <v>0.80099999999999993</v>
      </c>
      <c r="BY162" s="221">
        <v>12.25</v>
      </c>
      <c r="BZ162" s="221">
        <v>7.5</v>
      </c>
      <c r="CA162" s="221">
        <v>8.5</v>
      </c>
      <c r="CB162" s="92">
        <v>0.4519314236111111</v>
      </c>
      <c r="CC162" s="94">
        <v>2.6529999999999996</v>
      </c>
      <c r="CD162" s="302"/>
      <c r="CE162" s="302"/>
      <c r="CF162" s="213" t="s">
        <v>164</v>
      </c>
      <c r="CG162" s="213">
        <v>3</v>
      </c>
      <c r="CH162" s="213">
        <v>20</v>
      </c>
      <c r="CI162" s="213">
        <v>5</v>
      </c>
      <c r="CJ162" s="27">
        <v>300</v>
      </c>
      <c r="CK162" s="27">
        <v>315.29999999999995</v>
      </c>
      <c r="CL162" s="213" t="s">
        <v>322</v>
      </c>
      <c r="CM162" s="27" t="s">
        <v>137</v>
      </c>
      <c r="CN162" s="210"/>
      <c r="CO162" s="210"/>
      <c r="CP162" s="1"/>
      <c r="CQ162" s="1"/>
      <c r="CR162" s="1"/>
      <c r="CS162" s="1"/>
      <c r="CT162" s="1"/>
      <c r="CU162" s="1"/>
    </row>
    <row r="163" spans="1:99" s="211" customFormat="1" x14ac:dyDescent="0.25">
      <c r="A163" s="146">
        <v>42083</v>
      </c>
      <c r="B163" s="146"/>
      <c r="C163" s="186" t="s">
        <v>634</v>
      </c>
      <c r="D163" s="214" t="s">
        <v>89</v>
      </c>
      <c r="E163" s="214" t="s">
        <v>582</v>
      </c>
      <c r="F163" s="215" t="s">
        <v>635</v>
      </c>
      <c r="G163" s="215"/>
      <c r="H163" s="215"/>
      <c r="I163" s="215"/>
      <c r="J163" s="213" t="s">
        <v>130</v>
      </c>
      <c r="K163" s="213">
        <v>2710940304</v>
      </c>
      <c r="L163" s="226"/>
      <c r="M163" s="31"/>
      <c r="N163" s="25"/>
      <c r="O163" s="26"/>
      <c r="P163" s="26"/>
      <c r="Q163" s="2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5"/>
      <c r="AO163" s="33"/>
      <c r="AP163" s="25"/>
      <c r="AQ163" s="33"/>
      <c r="AR163" s="212"/>
      <c r="AS163" s="33"/>
      <c r="AT163" s="25"/>
      <c r="AU163" s="25" t="s">
        <v>636</v>
      </c>
      <c r="AV163" s="120"/>
      <c r="AW163" s="31"/>
      <c r="AX163" s="31"/>
      <c r="AY163" s="31"/>
      <c r="AZ163" s="31"/>
      <c r="BA163" s="31"/>
      <c r="BB163" s="31"/>
      <c r="BC163" s="31"/>
      <c r="BD163" s="224"/>
      <c r="BE163" s="212"/>
      <c r="BF163" s="31"/>
      <c r="BG163" s="31"/>
      <c r="BH163" s="31"/>
      <c r="BI163" s="31"/>
      <c r="BJ163" s="25"/>
      <c r="BK163" s="171">
        <v>25.89</v>
      </c>
      <c r="BL163" s="218" t="s">
        <v>637</v>
      </c>
      <c r="BM163" s="219">
        <v>10038568742480</v>
      </c>
      <c r="BN163" s="93">
        <v>12.36</v>
      </c>
      <c r="BO163" s="93">
        <v>5.75</v>
      </c>
      <c r="BP163" s="93">
        <v>2.0099999999999998</v>
      </c>
      <c r="BQ163" s="38"/>
      <c r="BR163" s="38"/>
      <c r="BS163" s="38"/>
      <c r="BT163" s="94">
        <v>9.2859999999999996</v>
      </c>
      <c r="BU163" s="94">
        <v>2.9060000000000001</v>
      </c>
      <c r="BV163" s="94">
        <v>13.191999999999998</v>
      </c>
      <c r="BW163" s="92">
        <v>0.20601137168518519</v>
      </c>
      <c r="BX163" s="94">
        <v>0.5</v>
      </c>
      <c r="BY163" s="221">
        <v>13.87</v>
      </c>
      <c r="BZ163" s="221">
        <v>9.75</v>
      </c>
      <c r="CA163" s="221">
        <v>10</v>
      </c>
      <c r="CB163" s="92">
        <v>0.78259548611111096</v>
      </c>
      <c r="CC163" s="94">
        <v>1.75</v>
      </c>
      <c r="CD163" s="302"/>
      <c r="CE163" s="302"/>
      <c r="CF163" s="213" t="s">
        <v>164</v>
      </c>
      <c r="CG163" s="213">
        <v>3</v>
      </c>
      <c r="CH163" s="213">
        <v>13</v>
      </c>
      <c r="CI163" s="213">
        <v>4</v>
      </c>
      <c r="CJ163" s="27">
        <v>156</v>
      </c>
      <c r="CK163" s="27">
        <v>141</v>
      </c>
      <c r="CL163" s="213" t="s">
        <v>140</v>
      </c>
      <c r="CM163" s="27" t="s">
        <v>137</v>
      </c>
      <c r="CN163" s="210"/>
      <c r="CO163" s="210"/>
      <c r="CP163" s="1"/>
      <c r="CQ163" s="1"/>
      <c r="CR163" s="1"/>
      <c r="CS163" s="1"/>
      <c r="CT163" s="1"/>
      <c r="CU163" s="1"/>
    </row>
    <row r="164" spans="1:99" s="211" customFormat="1" x14ac:dyDescent="0.25">
      <c r="A164" s="146">
        <v>42083</v>
      </c>
      <c r="B164" s="146"/>
      <c r="C164" s="227" t="s">
        <v>638</v>
      </c>
      <c r="D164" s="214" t="s">
        <v>89</v>
      </c>
      <c r="E164" s="214" t="s">
        <v>582</v>
      </c>
      <c r="F164" s="222" t="s">
        <v>639</v>
      </c>
      <c r="G164" s="222"/>
      <c r="H164" s="222"/>
      <c r="I164" s="222"/>
      <c r="J164" s="226" t="s">
        <v>125</v>
      </c>
      <c r="K164" s="31">
        <v>13717599285</v>
      </c>
      <c r="L164" s="226"/>
      <c r="M164" s="31"/>
      <c r="N164" s="25"/>
      <c r="O164" s="26"/>
      <c r="P164" s="26"/>
      <c r="Q164" s="2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5"/>
      <c r="AO164" s="33"/>
      <c r="AP164" s="25"/>
      <c r="AQ164" s="33"/>
      <c r="AR164" s="212"/>
      <c r="AS164" s="33"/>
      <c r="AT164" s="25"/>
      <c r="AU164" s="25"/>
      <c r="AV164" s="120"/>
      <c r="AW164" s="31"/>
      <c r="AX164" s="31"/>
      <c r="AY164" s="31"/>
      <c r="AZ164" s="31"/>
      <c r="BA164" s="31"/>
      <c r="BB164" s="31"/>
      <c r="BC164" s="31"/>
      <c r="BD164" s="224"/>
      <c r="BE164" s="212"/>
      <c r="BF164" s="31"/>
      <c r="BG164" s="31"/>
      <c r="BH164" s="31"/>
      <c r="BI164" s="31"/>
      <c r="BJ164" s="25"/>
      <c r="BK164" s="171">
        <v>30.61</v>
      </c>
      <c r="BL164" s="218" t="s">
        <v>640</v>
      </c>
      <c r="BM164" s="219">
        <v>10038568742510</v>
      </c>
      <c r="BN164" s="93">
        <v>11.2</v>
      </c>
      <c r="BO164" s="93">
        <v>10.43</v>
      </c>
      <c r="BP164" s="93">
        <v>1.28</v>
      </c>
      <c r="BQ164" s="38"/>
      <c r="BR164" s="38"/>
      <c r="BS164" s="38"/>
      <c r="BT164" s="94">
        <v>12.155999999999999</v>
      </c>
      <c r="BU164" s="94">
        <v>2.5960000000000001</v>
      </c>
      <c r="BV164" s="94">
        <v>12.191999999999998</v>
      </c>
      <c r="BW164" s="92">
        <v>0.22265199733333332</v>
      </c>
      <c r="BX164" s="94">
        <v>0.60699999999999998</v>
      </c>
      <c r="BY164" s="221">
        <v>12.62</v>
      </c>
      <c r="BZ164" s="221">
        <v>8.3699999999999992</v>
      </c>
      <c r="CA164" s="221">
        <v>12.87</v>
      </c>
      <c r="CB164" s="92">
        <v>0.78671896874999969</v>
      </c>
      <c r="CC164" s="94">
        <v>2.0709999999999997</v>
      </c>
      <c r="CD164" s="302"/>
      <c r="CE164" s="302"/>
      <c r="CF164" s="213" t="s">
        <v>164</v>
      </c>
      <c r="CG164" s="213">
        <v>3</v>
      </c>
      <c r="CH164" s="213">
        <v>16</v>
      </c>
      <c r="CI164" s="213">
        <v>5</v>
      </c>
      <c r="CJ164" s="27">
        <v>240</v>
      </c>
      <c r="CK164" s="27">
        <v>215.67999999999998</v>
      </c>
      <c r="CL164" s="213" t="s">
        <v>136</v>
      </c>
      <c r="CM164" s="27" t="s">
        <v>137</v>
      </c>
      <c r="CN164" s="210"/>
      <c r="CO164" s="210"/>
      <c r="CP164" s="1"/>
      <c r="CQ164" s="1"/>
      <c r="CR164" s="1"/>
      <c r="CS164" s="1"/>
      <c r="CT164" s="1"/>
      <c r="CU164" s="1"/>
    </row>
    <row r="165" spans="1:99" s="211" customFormat="1" ht="15" customHeight="1" x14ac:dyDescent="0.25">
      <c r="A165" s="146">
        <v>42083</v>
      </c>
      <c r="B165" s="146"/>
      <c r="C165" s="223" t="s">
        <v>641</v>
      </c>
      <c r="D165" s="214" t="s">
        <v>54</v>
      </c>
      <c r="E165" s="214" t="s">
        <v>642</v>
      </c>
      <c r="F165" s="222" t="s">
        <v>643</v>
      </c>
      <c r="G165" s="222"/>
      <c r="H165" s="222"/>
      <c r="I165" s="222"/>
      <c r="J165" s="213" t="s">
        <v>644</v>
      </c>
      <c r="K165" s="213" t="s">
        <v>645</v>
      </c>
      <c r="L165" s="226"/>
      <c r="M165" s="31"/>
      <c r="N165" s="25"/>
      <c r="O165" s="26"/>
      <c r="P165" s="26"/>
      <c r="Q165" s="2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5"/>
      <c r="AO165" s="33"/>
      <c r="AP165" s="25"/>
      <c r="AQ165" s="33"/>
      <c r="AR165" s="212" t="s">
        <v>646</v>
      </c>
      <c r="AS165" s="33"/>
      <c r="AT165" s="25"/>
      <c r="AU165" s="25"/>
      <c r="AV165" s="120"/>
      <c r="AW165" s="31"/>
      <c r="AX165" s="31"/>
      <c r="AY165" s="31"/>
      <c r="AZ165" s="31"/>
      <c r="BA165" s="31"/>
      <c r="BB165" s="31"/>
      <c r="BC165" s="31"/>
      <c r="BD165" s="224"/>
      <c r="BE165" s="212"/>
      <c r="BF165" s="31"/>
      <c r="BG165" s="31"/>
      <c r="BH165" s="31"/>
      <c r="BI165" s="31"/>
      <c r="BJ165" s="25" t="s">
        <v>647</v>
      </c>
      <c r="BK165" s="171">
        <v>74.69</v>
      </c>
      <c r="BL165" s="228" t="s">
        <v>648</v>
      </c>
      <c r="BM165" s="229" t="s">
        <v>649</v>
      </c>
      <c r="BN165" s="93"/>
      <c r="BO165" s="93"/>
      <c r="BP165" s="93"/>
      <c r="BQ165" s="93">
        <v>1.63</v>
      </c>
      <c r="BR165" s="93">
        <v>3.54</v>
      </c>
      <c r="BS165" s="38"/>
      <c r="BT165" s="520" t="s">
        <v>356</v>
      </c>
      <c r="BU165" s="520"/>
      <c r="BV165" s="520"/>
      <c r="BW165" s="520"/>
      <c r="BX165" s="520"/>
      <c r="BY165" s="94">
        <v>3.375</v>
      </c>
      <c r="BZ165" s="94">
        <v>3.375</v>
      </c>
      <c r="CA165" s="94">
        <v>5</v>
      </c>
      <c r="CB165" s="92">
        <v>3.2958984375E-2</v>
      </c>
      <c r="CC165" s="94">
        <v>1.85</v>
      </c>
      <c r="CD165" s="302"/>
      <c r="CE165" s="302"/>
      <c r="CF165" s="43" t="s">
        <v>135</v>
      </c>
      <c r="CG165" s="27">
        <v>1</v>
      </c>
      <c r="CH165" s="27">
        <v>357</v>
      </c>
      <c r="CI165" s="27">
        <v>9</v>
      </c>
      <c r="CJ165" s="27">
        <v>3213</v>
      </c>
      <c r="CK165" s="27">
        <v>5994.05</v>
      </c>
      <c r="CL165" s="213" t="s">
        <v>650</v>
      </c>
      <c r="CM165" s="27" t="s">
        <v>137</v>
      </c>
      <c r="CN165" s="210"/>
      <c r="CO165" s="210"/>
      <c r="CP165" s="1"/>
      <c r="CQ165" s="1"/>
      <c r="CR165" s="1"/>
      <c r="CS165" s="1"/>
      <c r="CT165" s="1"/>
      <c r="CU165" s="1"/>
    </row>
    <row r="166" spans="1:99" s="211" customFormat="1" x14ac:dyDescent="0.25">
      <c r="A166" s="146">
        <v>42083</v>
      </c>
      <c r="B166" s="146"/>
      <c r="C166" s="223" t="s">
        <v>651</v>
      </c>
      <c r="D166" s="214" t="s">
        <v>54</v>
      </c>
      <c r="E166" s="214" t="s">
        <v>642</v>
      </c>
      <c r="F166" s="222" t="s">
        <v>217</v>
      </c>
      <c r="G166" s="222"/>
      <c r="H166" s="222"/>
      <c r="I166" s="222"/>
      <c r="J166" s="222" t="s">
        <v>217</v>
      </c>
      <c r="K166" s="213" t="s">
        <v>652</v>
      </c>
      <c r="L166" s="226"/>
      <c r="M166" s="31"/>
      <c r="N166" s="25"/>
      <c r="O166" s="26"/>
      <c r="P166" s="26"/>
      <c r="Q166" s="2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5" t="s">
        <v>653</v>
      </c>
      <c r="AO166" s="33"/>
      <c r="AP166" s="25"/>
      <c r="AQ166" s="33"/>
      <c r="AR166" s="212"/>
      <c r="AS166" s="33"/>
      <c r="AT166" s="25"/>
      <c r="AU166" s="25"/>
      <c r="AV166" s="120"/>
      <c r="AW166" s="31"/>
      <c r="AX166" s="31"/>
      <c r="AY166" s="31"/>
      <c r="AZ166" s="31"/>
      <c r="BA166" s="31"/>
      <c r="BB166" s="31"/>
      <c r="BC166" s="31"/>
      <c r="BD166" s="224"/>
      <c r="BE166" s="212"/>
      <c r="BF166" s="31"/>
      <c r="BG166" s="31"/>
      <c r="BH166" s="31"/>
      <c r="BI166" s="31"/>
      <c r="BJ166" s="25" t="s">
        <v>654</v>
      </c>
      <c r="BK166" s="171">
        <v>33</v>
      </c>
      <c r="BL166" s="228" t="s">
        <v>655</v>
      </c>
      <c r="BM166" s="229" t="s">
        <v>656</v>
      </c>
      <c r="BN166" s="93"/>
      <c r="BO166" s="93"/>
      <c r="BP166" s="93"/>
      <c r="BQ166" s="93">
        <v>2.04</v>
      </c>
      <c r="BR166" s="93">
        <v>2.95</v>
      </c>
      <c r="BS166" s="38"/>
      <c r="BT166" s="520" t="s">
        <v>356</v>
      </c>
      <c r="BU166" s="520"/>
      <c r="BV166" s="520"/>
      <c r="BW166" s="520"/>
      <c r="BX166" s="520"/>
      <c r="BY166" s="94">
        <v>2.5</v>
      </c>
      <c r="BZ166" s="94">
        <v>2.5</v>
      </c>
      <c r="CA166" s="94">
        <v>5</v>
      </c>
      <c r="CB166" s="92">
        <v>1.8084490740740741E-2</v>
      </c>
      <c r="CC166" s="94">
        <v>0.55000000000000004</v>
      </c>
      <c r="CD166" s="302"/>
      <c r="CE166" s="302"/>
      <c r="CF166" s="43" t="s">
        <v>135</v>
      </c>
      <c r="CG166" s="27">
        <v>1</v>
      </c>
      <c r="CH166" s="27">
        <v>357</v>
      </c>
      <c r="CI166" s="27">
        <v>9</v>
      </c>
      <c r="CJ166" s="27">
        <v>3213</v>
      </c>
      <c r="CK166" s="27">
        <v>1817.15</v>
      </c>
      <c r="CL166" s="213" t="s">
        <v>650</v>
      </c>
      <c r="CM166" s="27" t="s">
        <v>137</v>
      </c>
      <c r="CN166" s="210"/>
      <c r="CO166" s="210"/>
      <c r="CP166" s="1"/>
      <c r="CQ166" s="1"/>
      <c r="CR166" s="1"/>
      <c r="CS166" s="1"/>
      <c r="CT166" s="1"/>
      <c r="CU166" s="1"/>
    </row>
    <row r="167" spans="1:99" s="211" customFormat="1" x14ac:dyDescent="0.25">
      <c r="A167" s="146">
        <v>42083</v>
      </c>
      <c r="B167" s="146"/>
      <c r="C167" s="223" t="s">
        <v>657</v>
      </c>
      <c r="D167" s="214" t="s">
        <v>54</v>
      </c>
      <c r="E167" s="214" t="s">
        <v>642</v>
      </c>
      <c r="F167" s="222" t="s">
        <v>658</v>
      </c>
      <c r="G167" s="222"/>
      <c r="H167" s="222"/>
      <c r="I167" s="222"/>
      <c r="J167" s="222" t="s">
        <v>217</v>
      </c>
      <c r="K167" s="213" t="s">
        <v>659</v>
      </c>
      <c r="L167" s="226" t="s">
        <v>660</v>
      </c>
      <c r="M167" s="31">
        <v>32910801</v>
      </c>
      <c r="N167" s="25"/>
      <c r="O167" s="26"/>
      <c r="P167" s="26"/>
      <c r="Q167" s="2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5" t="s">
        <v>661</v>
      </c>
      <c r="AO167" s="33"/>
      <c r="AP167" s="25"/>
      <c r="AQ167" s="33"/>
      <c r="AR167" s="212" t="s">
        <v>662</v>
      </c>
      <c r="AS167" s="33"/>
      <c r="AT167" s="25" t="s">
        <v>663</v>
      </c>
      <c r="AU167" s="25"/>
      <c r="AV167" s="120"/>
      <c r="AW167" s="31"/>
      <c r="AX167" s="31"/>
      <c r="AY167" s="31"/>
      <c r="AZ167" s="31"/>
      <c r="BA167" s="31"/>
      <c r="BB167" s="31"/>
      <c r="BC167" s="31"/>
      <c r="BD167" s="224"/>
      <c r="BE167" s="212"/>
      <c r="BF167" s="31"/>
      <c r="BG167" s="31"/>
      <c r="BH167" s="31"/>
      <c r="BI167" s="31"/>
      <c r="BJ167" s="25" t="s">
        <v>664</v>
      </c>
      <c r="BK167" s="171">
        <v>75.709999999999994</v>
      </c>
      <c r="BL167" s="228" t="s">
        <v>665</v>
      </c>
      <c r="BM167" s="229" t="s">
        <v>666</v>
      </c>
      <c r="BN167" s="93"/>
      <c r="BO167" s="93"/>
      <c r="BP167" s="93"/>
      <c r="BQ167" s="93">
        <v>2.76</v>
      </c>
      <c r="BR167" s="93">
        <v>5.24</v>
      </c>
      <c r="BS167" s="38"/>
      <c r="BT167" s="520" t="s">
        <v>356</v>
      </c>
      <c r="BU167" s="520"/>
      <c r="BV167" s="520"/>
      <c r="BW167" s="520"/>
      <c r="BX167" s="520"/>
      <c r="BY167" s="94">
        <v>3.75</v>
      </c>
      <c r="BZ167" s="94">
        <v>3.75</v>
      </c>
      <c r="CA167" s="94">
        <v>10.5</v>
      </c>
      <c r="CB167" s="92">
        <v>8.544921875E-2</v>
      </c>
      <c r="CC167" s="94">
        <v>0.55000000000000004</v>
      </c>
      <c r="CD167" s="302"/>
      <c r="CE167" s="302"/>
      <c r="CF167" s="43" t="s">
        <v>135</v>
      </c>
      <c r="CG167" s="27">
        <v>1</v>
      </c>
      <c r="CH167" s="27">
        <v>120</v>
      </c>
      <c r="CI167" s="27">
        <v>4</v>
      </c>
      <c r="CJ167" s="27">
        <v>480</v>
      </c>
      <c r="CK167" s="27">
        <v>314</v>
      </c>
      <c r="CL167" s="213" t="s">
        <v>650</v>
      </c>
      <c r="CM167" s="27" t="s">
        <v>137</v>
      </c>
      <c r="CN167" s="210"/>
      <c r="CO167" s="210"/>
      <c r="CP167" s="1"/>
      <c r="CQ167" s="1"/>
      <c r="CR167" s="1"/>
      <c r="CS167" s="1"/>
      <c r="CT167" s="1"/>
      <c r="CU167" s="1"/>
    </row>
    <row r="168" spans="1:99" s="211" customFormat="1" x14ac:dyDescent="0.25">
      <c r="A168" s="146">
        <v>42083</v>
      </c>
      <c r="B168" s="146"/>
      <c r="C168" s="223" t="s">
        <v>667</v>
      </c>
      <c r="D168" s="214" t="s">
        <v>54</v>
      </c>
      <c r="E168" s="214" t="s">
        <v>642</v>
      </c>
      <c r="F168" s="222" t="s">
        <v>668</v>
      </c>
      <c r="G168" s="222"/>
      <c r="H168" s="222"/>
      <c r="I168" s="222"/>
      <c r="J168" s="222" t="s">
        <v>668</v>
      </c>
      <c r="K168" s="213" t="s">
        <v>669</v>
      </c>
      <c r="L168" s="226"/>
      <c r="M168" s="31"/>
      <c r="N168" s="25"/>
      <c r="O168" s="26"/>
      <c r="P168" s="26"/>
      <c r="Q168" s="26"/>
      <c r="R168" s="216"/>
      <c r="S168" s="216"/>
      <c r="T168" s="216"/>
      <c r="U168" s="216"/>
      <c r="V168" s="216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5"/>
      <c r="AO168" s="33"/>
      <c r="AP168" s="25"/>
      <c r="AQ168" s="33"/>
      <c r="AR168" s="212"/>
      <c r="AS168" s="33"/>
      <c r="AT168" s="25"/>
      <c r="AU168" s="25"/>
      <c r="AV168" s="120"/>
      <c r="AW168" s="31"/>
      <c r="AX168" s="31"/>
      <c r="AY168" s="31"/>
      <c r="AZ168" s="31"/>
      <c r="BA168" s="31"/>
      <c r="BB168" s="31"/>
      <c r="BC168" s="31"/>
      <c r="BD168" s="224"/>
      <c r="BE168" s="212"/>
      <c r="BF168" s="31"/>
      <c r="BG168" s="31"/>
      <c r="BH168" s="31"/>
      <c r="BI168" s="25"/>
      <c r="BJ168" s="25" t="s">
        <v>670</v>
      </c>
      <c r="BK168" s="25">
        <v>180.13</v>
      </c>
      <c r="BL168" s="228" t="s">
        <v>648</v>
      </c>
      <c r="BM168" s="229" t="s">
        <v>649</v>
      </c>
      <c r="BN168" s="93"/>
      <c r="BO168" s="93"/>
      <c r="BP168" s="93"/>
      <c r="BQ168" s="93">
        <v>1.63</v>
      </c>
      <c r="BR168" s="93">
        <v>3.54</v>
      </c>
      <c r="BS168" s="38"/>
      <c r="BT168" s="520" t="s">
        <v>356</v>
      </c>
      <c r="BU168" s="520"/>
      <c r="BV168" s="520"/>
      <c r="BW168" s="520"/>
      <c r="BX168" s="520"/>
      <c r="BY168" s="94">
        <v>3.375</v>
      </c>
      <c r="BZ168" s="94">
        <v>3.375</v>
      </c>
      <c r="CA168" s="94">
        <v>5</v>
      </c>
      <c r="CB168" s="92">
        <v>3.2958984375E-2</v>
      </c>
      <c r="CC168" s="94">
        <v>1.85</v>
      </c>
      <c r="CD168" s="302"/>
      <c r="CE168" s="302"/>
      <c r="CF168" s="105" t="s">
        <v>135</v>
      </c>
      <c r="CG168" s="27">
        <v>1</v>
      </c>
      <c r="CH168" s="27">
        <v>357</v>
      </c>
      <c r="CI168" s="27">
        <v>9</v>
      </c>
      <c r="CJ168" s="27">
        <v>3213</v>
      </c>
      <c r="CK168" s="27">
        <v>5994.05</v>
      </c>
      <c r="CL168" s="213" t="s">
        <v>650</v>
      </c>
      <c r="CM168" s="27" t="s">
        <v>137</v>
      </c>
      <c r="CN168" s="210"/>
      <c r="CO168" s="210"/>
      <c r="CP168" s="1"/>
      <c r="CQ168" s="1"/>
      <c r="CR168" s="1"/>
      <c r="CS168" s="1"/>
      <c r="CT168" s="1"/>
      <c r="CU168" s="1"/>
    </row>
    <row r="169" spans="1:99" s="211" customFormat="1" ht="30" x14ac:dyDescent="0.25">
      <c r="A169" s="146">
        <v>42083</v>
      </c>
      <c r="B169" s="146"/>
      <c r="C169" s="227" t="s">
        <v>671</v>
      </c>
      <c r="D169" s="214" t="s">
        <v>54</v>
      </c>
      <c r="E169" s="214" t="s">
        <v>672</v>
      </c>
      <c r="F169" s="222" t="s">
        <v>673</v>
      </c>
      <c r="G169" s="222"/>
      <c r="H169" s="222"/>
      <c r="I169" s="222"/>
      <c r="J169" s="226" t="s">
        <v>674</v>
      </c>
      <c r="K169" s="31" t="s">
        <v>675</v>
      </c>
      <c r="L169" s="226"/>
      <c r="M169" s="31"/>
      <c r="N169" s="25"/>
      <c r="O169" s="26"/>
      <c r="P169" s="26"/>
      <c r="Q169" s="2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5"/>
      <c r="AO169" s="33"/>
      <c r="AP169" s="25"/>
      <c r="AQ169" s="33"/>
      <c r="AR169" s="212"/>
      <c r="AS169" s="33"/>
      <c r="AT169" s="25"/>
      <c r="AU169" s="25"/>
      <c r="AV169" s="120"/>
      <c r="AW169" s="31"/>
      <c r="AX169" s="31"/>
      <c r="AY169" s="31"/>
      <c r="AZ169" s="31"/>
      <c r="BA169" s="31"/>
      <c r="BB169" s="31"/>
      <c r="BC169" s="31"/>
      <c r="BD169" s="224"/>
      <c r="BE169" s="212"/>
      <c r="BF169" s="31"/>
      <c r="BG169" s="31"/>
      <c r="BH169" s="31"/>
      <c r="BI169" s="31"/>
      <c r="BJ169" s="25"/>
      <c r="BK169" s="171">
        <v>35.011929460580916</v>
      </c>
      <c r="BL169" s="218" t="s">
        <v>676</v>
      </c>
      <c r="BM169" s="219">
        <v>10038568741551</v>
      </c>
      <c r="BN169" s="38"/>
      <c r="BO169" s="38"/>
      <c r="BP169" s="38"/>
      <c r="BQ169" s="92">
        <v>2.76</v>
      </c>
      <c r="BR169" s="92">
        <v>5.22</v>
      </c>
      <c r="BS169" s="92">
        <v>0.83</v>
      </c>
      <c r="BT169" s="519" t="s">
        <v>356</v>
      </c>
      <c r="BU169" s="519"/>
      <c r="BV169" s="519"/>
      <c r="BW169" s="519"/>
      <c r="BX169" s="519"/>
      <c r="BY169" s="221">
        <v>9.3800000000000008</v>
      </c>
      <c r="BZ169" s="221">
        <v>6.5</v>
      </c>
      <c r="CA169" s="221">
        <v>7.38</v>
      </c>
      <c r="CB169" s="92">
        <v>0.26039270833333333</v>
      </c>
      <c r="CC169" s="94">
        <v>1.4500000000000002</v>
      </c>
      <c r="CD169" s="302"/>
      <c r="CE169" s="302"/>
      <c r="CF169" s="213" t="s">
        <v>164</v>
      </c>
      <c r="CG169" s="213">
        <v>6</v>
      </c>
      <c r="CH169" s="213">
        <v>30</v>
      </c>
      <c r="CI169" s="213">
        <v>6</v>
      </c>
      <c r="CJ169" s="27">
        <v>1080</v>
      </c>
      <c r="CK169" s="27">
        <v>311.00000000000006</v>
      </c>
      <c r="CL169" s="213" t="s">
        <v>140</v>
      </c>
      <c r="CM169" s="27" t="s">
        <v>137</v>
      </c>
      <c r="CN169" s="210"/>
      <c r="CO169" s="210"/>
      <c r="CP169" s="1"/>
      <c r="CQ169" s="1"/>
      <c r="CR169" s="1"/>
      <c r="CS169" s="1"/>
      <c r="CT169" s="1"/>
      <c r="CU169" s="1"/>
    </row>
    <row r="170" spans="1:99" s="211" customFormat="1" ht="30" x14ac:dyDescent="0.25">
      <c r="A170" s="146">
        <v>42083</v>
      </c>
      <c r="B170" s="146"/>
      <c r="C170" s="230" t="s">
        <v>677</v>
      </c>
      <c r="D170" s="214" t="s">
        <v>54</v>
      </c>
      <c r="E170" s="214" t="s">
        <v>672</v>
      </c>
      <c r="F170" s="180" t="s">
        <v>678</v>
      </c>
      <c r="G170" s="180"/>
      <c r="H170" s="180"/>
      <c r="I170" s="180"/>
      <c r="J170" s="226" t="s">
        <v>334</v>
      </c>
      <c r="K170" s="31" t="s">
        <v>679</v>
      </c>
      <c r="L170" s="226" t="s">
        <v>91</v>
      </c>
      <c r="M170" s="31" t="s">
        <v>680</v>
      </c>
      <c r="N170" s="25"/>
      <c r="O170" s="26"/>
      <c r="P170" s="26"/>
      <c r="Q170" s="2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5" t="s">
        <v>681</v>
      </c>
      <c r="AO170" s="33"/>
      <c r="AP170" s="25"/>
      <c r="AQ170" s="33"/>
      <c r="AR170" s="25" t="s">
        <v>682</v>
      </c>
      <c r="AS170" s="33"/>
      <c r="AT170" s="25" t="s">
        <v>683</v>
      </c>
      <c r="AU170" s="25" t="s">
        <v>684</v>
      </c>
      <c r="AV170" s="120"/>
      <c r="AW170" s="31"/>
      <c r="AX170" s="31"/>
      <c r="AY170" s="31"/>
      <c r="AZ170" s="31"/>
      <c r="BA170" s="31"/>
      <c r="BB170" s="31"/>
      <c r="BC170" s="31"/>
      <c r="BD170" s="224"/>
      <c r="BE170" s="212"/>
      <c r="BF170" s="31"/>
      <c r="BG170" s="31"/>
      <c r="BH170" s="31"/>
      <c r="BI170" s="31"/>
      <c r="BJ170" s="25">
        <v>57899</v>
      </c>
      <c r="BK170" s="217">
        <v>8.25</v>
      </c>
      <c r="BL170" s="218" t="s">
        <v>685</v>
      </c>
      <c r="BM170" s="219">
        <v>10038568742176</v>
      </c>
      <c r="BN170" s="38"/>
      <c r="BO170" s="38"/>
      <c r="BP170" s="38"/>
      <c r="BQ170" s="92">
        <v>3.65</v>
      </c>
      <c r="BR170" s="92">
        <v>3.6360000000000001</v>
      </c>
      <c r="BS170" s="92">
        <v>2.4209999999999998</v>
      </c>
      <c r="BT170" s="94">
        <v>3.8460000000000001</v>
      </c>
      <c r="BU170" s="94">
        <v>3.8460000000000001</v>
      </c>
      <c r="BV170" s="94">
        <v>4.0720000000000001</v>
      </c>
      <c r="BW170" s="92">
        <v>3.4856404833333333E-2</v>
      </c>
      <c r="BX170" s="94">
        <v>0.99</v>
      </c>
      <c r="BY170" s="221">
        <v>15.81</v>
      </c>
      <c r="BZ170" s="221">
        <v>11.93</v>
      </c>
      <c r="CA170" s="221">
        <v>4.62</v>
      </c>
      <c r="CB170" s="92">
        <v>0.50427861458333334</v>
      </c>
      <c r="CC170" s="94">
        <v>12.129999999999999</v>
      </c>
      <c r="CD170" s="302"/>
      <c r="CE170" s="302"/>
      <c r="CF170" s="213" t="s">
        <v>164</v>
      </c>
      <c r="CG170" s="213">
        <v>12</v>
      </c>
      <c r="CH170" s="213">
        <v>10</v>
      </c>
      <c r="CI170" s="213">
        <v>9</v>
      </c>
      <c r="CJ170" s="27">
        <v>1080</v>
      </c>
      <c r="CK170" s="27">
        <v>1141.6999999999998</v>
      </c>
      <c r="CL170" s="213" t="s">
        <v>257</v>
      </c>
      <c r="CM170" s="27" t="s">
        <v>137</v>
      </c>
      <c r="CN170" s="210"/>
      <c r="CO170" s="210"/>
      <c r="CP170" s="1"/>
      <c r="CQ170" s="1"/>
      <c r="CR170" s="1"/>
      <c r="CS170" s="1"/>
      <c r="CT170" s="1"/>
      <c r="CU170" s="1"/>
    </row>
    <row r="171" spans="1:99" s="211" customFormat="1" ht="30" x14ac:dyDescent="0.25">
      <c r="A171" s="146">
        <v>42083</v>
      </c>
      <c r="B171" s="146"/>
      <c r="C171" s="230" t="s">
        <v>686</v>
      </c>
      <c r="D171" s="214" t="s">
        <v>54</v>
      </c>
      <c r="E171" s="214" t="s">
        <v>672</v>
      </c>
      <c r="F171" s="180" t="s">
        <v>687</v>
      </c>
      <c r="G171" s="180"/>
      <c r="H171" s="180"/>
      <c r="I171" s="180"/>
      <c r="J171" s="226" t="s">
        <v>91</v>
      </c>
      <c r="K171" s="31" t="s">
        <v>688</v>
      </c>
      <c r="L171" s="226" t="s">
        <v>47</v>
      </c>
      <c r="M171" s="31" t="s">
        <v>689</v>
      </c>
      <c r="N171" s="25"/>
      <c r="O171" s="26"/>
      <c r="P171" s="26"/>
      <c r="Q171" s="2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5" t="s">
        <v>690</v>
      </c>
      <c r="AO171" s="33"/>
      <c r="AP171" s="25"/>
      <c r="AQ171" s="33"/>
      <c r="AR171" s="212" t="s">
        <v>691</v>
      </c>
      <c r="AS171" s="33"/>
      <c r="AT171" s="25" t="s">
        <v>692</v>
      </c>
      <c r="AU171" s="25" t="s">
        <v>693</v>
      </c>
      <c r="AV171" s="120"/>
      <c r="AW171" s="31"/>
      <c r="AX171" s="31"/>
      <c r="AY171" s="31"/>
      <c r="AZ171" s="31"/>
      <c r="BA171" s="31"/>
      <c r="BB171" s="31"/>
      <c r="BC171" s="31"/>
      <c r="BD171" s="224"/>
      <c r="BE171" s="212"/>
      <c r="BF171" s="31"/>
      <c r="BG171" s="31"/>
      <c r="BH171" s="31"/>
      <c r="BI171" s="31"/>
      <c r="BJ171" s="25">
        <v>57301</v>
      </c>
      <c r="BK171" s="217">
        <v>8.9499999999999993</v>
      </c>
      <c r="BL171" s="218" t="s">
        <v>694</v>
      </c>
      <c r="BM171" s="219">
        <v>10038568742237</v>
      </c>
      <c r="BN171" s="38"/>
      <c r="BO171" s="38"/>
      <c r="BP171" s="38"/>
      <c r="BQ171" s="92">
        <v>2.96</v>
      </c>
      <c r="BR171" s="92">
        <v>4.8159999999999998</v>
      </c>
      <c r="BS171" s="92">
        <v>2.39</v>
      </c>
      <c r="BT171" s="94">
        <v>3.1859999999999999</v>
      </c>
      <c r="BU171" s="94">
        <v>3.1920000000000002</v>
      </c>
      <c r="BV171" s="94">
        <v>4.9470000000000001</v>
      </c>
      <c r="BW171" s="92">
        <v>2.911433175E-2</v>
      </c>
      <c r="BX171" s="94">
        <v>0.77</v>
      </c>
      <c r="BY171" s="221">
        <v>13.25</v>
      </c>
      <c r="BZ171" s="221">
        <v>10</v>
      </c>
      <c r="CA171" s="221">
        <v>5.5</v>
      </c>
      <c r="CB171" s="92">
        <v>0.42173032407407407</v>
      </c>
      <c r="CC171" s="94">
        <v>9.49</v>
      </c>
      <c r="CD171" s="302"/>
      <c r="CE171" s="302"/>
      <c r="CF171" s="213" t="s">
        <v>164</v>
      </c>
      <c r="CG171" s="213">
        <v>12</v>
      </c>
      <c r="CH171" s="213">
        <v>14</v>
      </c>
      <c r="CI171" s="213">
        <v>8</v>
      </c>
      <c r="CJ171" s="27">
        <v>1344</v>
      </c>
      <c r="CK171" s="27">
        <v>1112.8800000000001</v>
      </c>
      <c r="CL171" s="213" t="s">
        <v>257</v>
      </c>
      <c r="CM171" s="27" t="s">
        <v>137</v>
      </c>
      <c r="CN171" s="210"/>
      <c r="CO171" s="210"/>
      <c r="CP171" s="1"/>
      <c r="CQ171" s="1"/>
      <c r="CR171" s="1"/>
      <c r="CS171" s="1"/>
      <c r="CT171" s="1"/>
      <c r="CU171" s="1"/>
    </row>
    <row r="172" spans="1:99" s="106" customFormat="1" x14ac:dyDescent="0.25">
      <c r="A172" s="223"/>
      <c r="B172" s="223"/>
      <c r="C172" s="231" t="s">
        <v>695</v>
      </c>
      <c r="D172" s="232"/>
      <c r="E172" s="232"/>
      <c r="F172" s="232"/>
      <c r="G172" s="232"/>
      <c r="H172" s="232"/>
      <c r="I172" s="232"/>
      <c r="J172" s="232"/>
      <c r="K172" s="23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H172" s="223"/>
      <c r="BI172" s="223"/>
      <c r="BJ172" s="223"/>
      <c r="BK172" s="234"/>
      <c r="BL172" s="223"/>
      <c r="BM172" s="223"/>
      <c r="BN172" s="223"/>
      <c r="BO172" s="223"/>
      <c r="BP172" s="223"/>
      <c r="BQ172" s="223"/>
      <c r="BR172" s="223"/>
      <c r="BS172" s="223"/>
      <c r="BT172" s="212"/>
      <c r="BU172" s="212"/>
      <c r="BV172" s="212"/>
      <c r="BW172" s="223"/>
      <c r="BX172" s="212"/>
      <c r="BY172" s="212"/>
      <c r="BZ172" s="212"/>
      <c r="CA172" s="212"/>
      <c r="CB172" s="223"/>
      <c r="CC172" s="212"/>
      <c r="CD172" s="212"/>
      <c r="CE172" s="212"/>
      <c r="CF172" s="223"/>
      <c r="CG172" s="223"/>
      <c r="CH172" s="223"/>
      <c r="CI172" s="223"/>
      <c r="CJ172" s="223"/>
      <c r="CK172" s="223"/>
      <c r="CL172" s="223"/>
      <c r="CM172" s="233"/>
      <c r="CN172" s="14"/>
      <c r="CO172" s="14"/>
      <c r="CP172" s="14"/>
      <c r="CQ172" s="14"/>
      <c r="CR172" s="14"/>
      <c r="CS172" s="14"/>
      <c r="CT172" s="14"/>
      <c r="CU172" s="14"/>
    </row>
    <row r="173" spans="1:99" s="211" customFormat="1" ht="15" customHeight="1" x14ac:dyDescent="0.25">
      <c r="A173" s="146">
        <v>42051</v>
      </c>
      <c r="B173" s="146"/>
      <c r="C173" s="212" t="s">
        <v>696</v>
      </c>
      <c r="D173" s="214" t="s">
        <v>54</v>
      </c>
      <c r="E173" s="214" t="s">
        <v>582</v>
      </c>
      <c r="F173" s="222" t="s">
        <v>697</v>
      </c>
      <c r="G173" s="222"/>
      <c r="H173" s="222"/>
      <c r="I173" s="222"/>
      <c r="J173" s="226" t="s">
        <v>698</v>
      </c>
      <c r="K173" s="31" t="s">
        <v>699</v>
      </c>
      <c r="L173" s="226"/>
      <c r="M173" s="31"/>
      <c r="N173" s="25"/>
      <c r="O173" s="26"/>
      <c r="P173" s="26"/>
      <c r="Q173" s="2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5"/>
      <c r="AO173" s="33"/>
      <c r="AP173" s="25"/>
      <c r="AQ173" s="33"/>
      <c r="AR173" s="212"/>
      <c r="AS173" s="33"/>
      <c r="AT173" s="25" t="s">
        <v>700</v>
      </c>
      <c r="AU173" s="25"/>
      <c r="AV173" s="31"/>
      <c r="AW173" s="31"/>
      <c r="AX173" s="31"/>
      <c r="AY173" s="31"/>
      <c r="AZ173" s="31"/>
      <c r="BA173" s="31"/>
      <c r="BB173" s="31"/>
      <c r="BC173" s="31"/>
      <c r="BD173" s="224"/>
      <c r="BE173" s="31"/>
      <c r="BF173" s="31"/>
      <c r="BG173" s="31"/>
      <c r="BH173" s="31"/>
      <c r="BI173" s="31"/>
      <c r="BJ173" s="25">
        <v>49227</v>
      </c>
      <c r="BK173" s="235">
        <v>16.940000000000001</v>
      </c>
      <c r="BL173" s="218" t="s">
        <v>701</v>
      </c>
      <c r="BM173" s="219">
        <v>10038568740400</v>
      </c>
      <c r="BN173" s="93">
        <v>6.67</v>
      </c>
      <c r="BO173" s="93">
        <v>6.67</v>
      </c>
      <c r="BP173" s="93">
        <v>3.19</v>
      </c>
      <c r="BQ173" s="38"/>
      <c r="BR173" s="38"/>
      <c r="BS173" s="38"/>
      <c r="BT173" s="519" t="s">
        <v>356</v>
      </c>
      <c r="BU173" s="519"/>
      <c r="BV173" s="519"/>
      <c r="BW173" s="519"/>
      <c r="BX173" s="519"/>
      <c r="BY173" s="221">
        <f>8.75+(0.125*2)</f>
        <v>9</v>
      </c>
      <c r="BZ173" s="221">
        <f>8.75+(0.125*2)</f>
        <v>9</v>
      </c>
      <c r="CA173" s="221">
        <f>4+(0.125*4)</f>
        <v>4.5</v>
      </c>
      <c r="CB173" s="92">
        <f t="shared" ref="CB173:CB199" si="46">(CA173*BZ173*BY173)/1728</f>
        <v>0.2109375</v>
      </c>
      <c r="CC173" s="94">
        <f>1.5+0.25</f>
        <v>1.75</v>
      </c>
      <c r="CD173" s="302"/>
      <c r="CE173" s="302"/>
      <c r="CF173" s="213" t="s">
        <v>164</v>
      </c>
      <c r="CG173" s="213">
        <v>1</v>
      </c>
      <c r="CH173" s="213">
        <v>20</v>
      </c>
      <c r="CI173" s="213">
        <v>9</v>
      </c>
      <c r="CJ173" s="27">
        <f t="shared" ref="CJ173:CJ199" si="47">CG173*CH173*CI173</f>
        <v>180</v>
      </c>
      <c r="CK173" s="27">
        <f t="shared" ref="CK173:CK192" si="48">(CC173*CH173*CI173)+50</f>
        <v>365</v>
      </c>
      <c r="CL173" s="213" t="s">
        <v>702</v>
      </c>
      <c r="CM173" s="27" t="s">
        <v>137</v>
      </c>
      <c r="CN173" s="210"/>
      <c r="CO173" s="210"/>
      <c r="CP173" s="1"/>
      <c r="CQ173" s="1"/>
      <c r="CR173" s="1"/>
      <c r="CS173" s="1"/>
      <c r="CT173" s="1"/>
      <c r="CU173" s="1"/>
    </row>
    <row r="174" spans="1:99" s="211" customFormat="1" x14ac:dyDescent="0.25">
      <c r="A174" s="146">
        <v>42051</v>
      </c>
      <c r="B174" s="146"/>
      <c r="C174" s="212" t="s">
        <v>703</v>
      </c>
      <c r="D174" s="214" t="s">
        <v>54</v>
      </c>
      <c r="E174" s="214" t="s">
        <v>704</v>
      </c>
      <c r="F174" s="222" t="s">
        <v>705</v>
      </c>
      <c r="G174" s="222"/>
      <c r="H174" s="222"/>
      <c r="I174" s="222"/>
      <c r="J174" s="226" t="s">
        <v>706</v>
      </c>
      <c r="K174" s="31" t="s">
        <v>707</v>
      </c>
      <c r="L174" s="226"/>
      <c r="M174" s="31"/>
      <c r="N174" s="25"/>
      <c r="O174" s="26"/>
      <c r="P174" s="26"/>
      <c r="Q174" s="2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5" t="s">
        <v>708</v>
      </c>
      <c r="AO174" s="33"/>
      <c r="AP174" s="25"/>
      <c r="AQ174" s="33"/>
      <c r="AR174" s="212"/>
      <c r="AS174" s="33"/>
      <c r="AT174" s="25"/>
      <c r="AU174" s="25"/>
      <c r="AV174" s="31"/>
      <c r="AW174" s="31"/>
      <c r="AX174" s="31"/>
      <c r="AY174" s="31"/>
      <c r="AZ174" s="31"/>
      <c r="BA174" s="31"/>
      <c r="BB174" s="31"/>
      <c r="BC174" s="31"/>
      <c r="BD174" s="224"/>
      <c r="BE174" s="31"/>
      <c r="BF174" s="31"/>
      <c r="BG174" s="31"/>
      <c r="BH174" s="31"/>
      <c r="BI174" s="31"/>
      <c r="BJ174" s="25"/>
      <c r="BK174" s="235">
        <v>45.09</v>
      </c>
      <c r="BL174" s="218" t="s">
        <v>709</v>
      </c>
      <c r="BM174" s="219">
        <v>10038568741544</v>
      </c>
      <c r="BN174" s="93">
        <v>13.54</v>
      </c>
      <c r="BO174" s="93">
        <v>9.09</v>
      </c>
      <c r="BP174" s="93">
        <v>0.71</v>
      </c>
      <c r="BQ174" s="38"/>
      <c r="BR174" s="38"/>
      <c r="BS174" s="38"/>
      <c r="BT174" s="94">
        <v>14.5</v>
      </c>
      <c r="BU174" s="94">
        <v>11</v>
      </c>
      <c r="BV174" s="94">
        <v>3.62</v>
      </c>
      <c r="BW174" s="92">
        <f t="shared" ref="BW174:BW185" si="49">(BV174*BU174*BT174)/1728</f>
        <v>0.33413773148148146</v>
      </c>
      <c r="BX174" s="94">
        <f>0.4</f>
        <v>0.4</v>
      </c>
      <c r="BY174" s="221">
        <f>14.5+(0.125*2)</f>
        <v>14.75</v>
      </c>
      <c r="BZ174" s="221">
        <f>11+(0.125*2)</f>
        <v>11.25</v>
      </c>
      <c r="CA174" s="221">
        <f>3.62+(0.125*4)</f>
        <v>4.12</v>
      </c>
      <c r="CB174" s="92">
        <f t="shared" si="46"/>
        <v>0.39563802083333333</v>
      </c>
      <c r="CC174" s="94">
        <f>(BX174*3)+0.25</f>
        <v>1.4500000000000002</v>
      </c>
      <c r="CD174" s="302"/>
      <c r="CE174" s="302"/>
      <c r="CF174" s="213" t="s">
        <v>164</v>
      </c>
      <c r="CG174" s="213">
        <v>3</v>
      </c>
      <c r="CH174" s="213">
        <v>10</v>
      </c>
      <c r="CI174" s="213">
        <v>10</v>
      </c>
      <c r="CJ174" s="27">
        <f t="shared" si="47"/>
        <v>300</v>
      </c>
      <c r="CK174" s="27">
        <f t="shared" si="48"/>
        <v>195.00000000000003</v>
      </c>
      <c r="CL174" s="213" t="s">
        <v>140</v>
      </c>
      <c r="CM174" s="27" t="s">
        <v>137</v>
      </c>
      <c r="CN174" s="210"/>
      <c r="CO174" s="210"/>
      <c r="CP174" s="1"/>
      <c r="CQ174" s="1"/>
      <c r="CR174" s="1"/>
      <c r="CS174" s="1"/>
      <c r="CT174" s="1"/>
      <c r="CU174" s="1"/>
    </row>
    <row r="175" spans="1:99" s="211" customFormat="1" x14ac:dyDescent="0.25">
      <c r="A175" s="146">
        <v>42051</v>
      </c>
      <c r="B175" s="146"/>
      <c r="C175" s="212" t="s">
        <v>710</v>
      </c>
      <c r="D175" s="214" t="s">
        <v>581</v>
      </c>
      <c r="E175" s="214" t="s">
        <v>582</v>
      </c>
      <c r="F175" s="222" t="s">
        <v>711</v>
      </c>
      <c r="G175" s="222"/>
      <c r="H175" s="222"/>
      <c r="I175" s="222"/>
      <c r="J175" s="226" t="s">
        <v>108</v>
      </c>
      <c r="K175" s="31">
        <v>96950990</v>
      </c>
      <c r="L175" s="226"/>
      <c r="M175" s="31"/>
      <c r="N175" s="25"/>
      <c r="O175" s="26"/>
      <c r="P175" s="26"/>
      <c r="Q175" s="2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5"/>
      <c r="AO175" s="33"/>
      <c r="AP175" s="25"/>
      <c r="AQ175" s="33"/>
      <c r="AR175" s="212"/>
      <c r="AS175" s="33"/>
      <c r="AT175" s="25"/>
      <c r="AU175" s="25" t="s">
        <v>712</v>
      </c>
      <c r="AV175" s="120"/>
      <c r="AW175" s="31"/>
      <c r="AX175" s="31" t="s">
        <v>713</v>
      </c>
      <c r="AY175" s="31"/>
      <c r="AZ175" s="31"/>
      <c r="BA175" s="31"/>
      <c r="BB175" s="31" t="s">
        <v>710</v>
      </c>
      <c r="BC175" s="31"/>
      <c r="BD175" s="224"/>
      <c r="BE175" s="212" t="s">
        <v>714</v>
      </c>
      <c r="BF175" s="31" t="s">
        <v>715</v>
      </c>
      <c r="BG175" s="31" t="s">
        <v>716</v>
      </c>
      <c r="BH175" s="31"/>
      <c r="BI175" s="31" t="s">
        <v>717</v>
      </c>
      <c r="BJ175" s="25">
        <v>49590</v>
      </c>
      <c r="BK175" s="217">
        <v>29.58</v>
      </c>
      <c r="BL175" s="218" t="s">
        <v>718</v>
      </c>
      <c r="BM175" s="219">
        <v>10038568742343</v>
      </c>
      <c r="BN175" s="93">
        <v>9.49</v>
      </c>
      <c r="BO175" s="93">
        <v>6.73</v>
      </c>
      <c r="BP175" s="93">
        <v>1.99</v>
      </c>
      <c r="BQ175" s="38"/>
      <c r="BR175" s="38"/>
      <c r="BS175" s="38"/>
      <c r="BT175" s="94">
        <f>7.44+(0.018*2)</f>
        <v>7.476</v>
      </c>
      <c r="BU175" s="94">
        <f>2.75+(0.018*2)</f>
        <v>2.786</v>
      </c>
      <c r="BV175" s="94">
        <f>9.5+(0.018*4)</f>
        <v>9.5719999999999992</v>
      </c>
      <c r="BW175" s="92">
        <f t="shared" si="49"/>
        <v>0.11537437372222221</v>
      </c>
      <c r="BX175" s="94">
        <f>0.403+0.1</f>
        <v>0.503</v>
      </c>
      <c r="BY175" s="221">
        <f>10+(0.125*2)</f>
        <v>10.25</v>
      </c>
      <c r="BZ175" s="221">
        <f>7.5+(0.125*2)</f>
        <v>7.75</v>
      </c>
      <c r="CA175" s="221">
        <f>10+(0.125*4)</f>
        <v>10.5</v>
      </c>
      <c r="CB175" s="92">
        <f t="shared" si="46"/>
        <v>0.4826931423611111</v>
      </c>
      <c r="CC175" s="94">
        <f>(BX175*3)+0.25</f>
        <v>1.7589999999999999</v>
      </c>
      <c r="CD175" s="302"/>
      <c r="CE175" s="302"/>
      <c r="CF175" s="213" t="s">
        <v>164</v>
      </c>
      <c r="CG175" s="213">
        <v>3</v>
      </c>
      <c r="CH175" s="213">
        <v>22</v>
      </c>
      <c r="CI175" s="213">
        <v>4</v>
      </c>
      <c r="CJ175" s="27">
        <f t="shared" si="47"/>
        <v>264</v>
      </c>
      <c r="CK175" s="27">
        <f t="shared" si="48"/>
        <v>204.792</v>
      </c>
      <c r="CL175" s="213" t="s">
        <v>136</v>
      </c>
      <c r="CM175" s="27" t="s">
        <v>137</v>
      </c>
      <c r="CN175" s="210"/>
      <c r="CO175" s="210"/>
      <c r="CP175" s="1"/>
      <c r="CQ175" s="1"/>
      <c r="CR175" s="1"/>
      <c r="CS175" s="1"/>
      <c r="CT175" s="1"/>
      <c r="CU175" s="1"/>
    </row>
    <row r="176" spans="1:99" s="211" customFormat="1" ht="30" x14ac:dyDescent="0.25">
      <c r="A176" s="146">
        <v>42030</v>
      </c>
      <c r="B176" s="146"/>
      <c r="C176" s="212" t="s">
        <v>719</v>
      </c>
      <c r="D176" s="214" t="s">
        <v>54</v>
      </c>
      <c r="E176" s="214" t="s">
        <v>720</v>
      </c>
      <c r="F176" s="222" t="s">
        <v>721</v>
      </c>
      <c r="G176" s="222"/>
      <c r="H176" s="222"/>
      <c r="I176" s="222"/>
      <c r="J176" s="226" t="s">
        <v>722</v>
      </c>
      <c r="K176" s="31" t="s">
        <v>723</v>
      </c>
      <c r="L176" s="226" t="s">
        <v>722</v>
      </c>
      <c r="M176" s="31">
        <v>1521527</v>
      </c>
      <c r="N176" s="25"/>
      <c r="O176" s="26"/>
      <c r="P176" s="26"/>
      <c r="Q176" s="2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5" t="s">
        <v>724</v>
      </c>
      <c r="AO176" s="33"/>
      <c r="AP176" s="25"/>
      <c r="AQ176" s="33"/>
      <c r="AR176" s="212" t="s">
        <v>725</v>
      </c>
      <c r="AS176" s="33"/>
      <c r="AT176" s="25" t="s">
        <v>726</v>
      </c>
      <c r="AU176" s="25"/>
      <c r="AV176" s="31"/>
      <c r="AW176" s="31" t="s">
        <v>727</v>
      </c>
      <c r="AX176" s="31"/>
      <c r="AY176" s="31"/>
      <c r="AZ176" s="31"/>
      <c r="BA176" s="31"/>
      <c r="BB176" s="31"/>
      <c r="BC176" s="31"/>
      <c r="BD176" s="224"/>
      <c r="BE176" s="31"/>
      <c r="BF176" s="31"/>
      <c r="BG176" s="31"/>
      <c r="BH176" s="31"/>
      <c r="BI176" s="31"/>
      <c r="BJ176" s="25"/>
      <c r="BK176" s="235">
        <v>17.7</v>
      </c>
      <c r="BL176" s="218" t="s">
        <v>728</v>
      </c>
      <c r="BM176" s="219">
        <v>10038568737998</v>
      </c>
      <c r="BN176" s="38"/>
      <c r="BO176" s="36"/>
      <c r="BP176" s="36"/>
      <c r="BQ176" s="92">
        <v>2.52</v>
      </c>
      <c r="BR176" s="92">
        <v>5.75</v>
      </c>
      <c r="BS176" s="92">
        <v>1.06</v>
      </c>
      <c r="BT176" s="94">
        <f>3.0625+(0.018*2)</f>
        <v>3.0985</v>
      </c>
      <c r="BU176" s="94">
        <f>3.0625+(0.018*2)</f>
        <v>3.0985</v>
      </c>
      <c r="BV176" s="94">
        <f>6.75+(0.018*4)</f>
        <v>6.8220000000000001</v>
      </c>
      <c r="BW176" s="92">
        <f t="shared" si="49"/>
        <v>3.7902772424479161E-2</v>
      </c>
      <c r="BX176" s="94">
        <f>0.16+0.1</f>
        <v>0.26</v>
      </c>
      <c r="BY176" s="221">
        <f>12.8125+(0.125*2)</f>
        <v>13.0625</v>
      </c>
      <c r="BZ176" s="221">
        <f>9.625+(0.125*2)</f>
        <v>9.875</v>
      </c>
      <c r="CA176" s="221">
        <f>6.875+(0.125*4)</f>
        <v>7.375</v>
      </c>
      <c r="CB176" s="92">
        <f t="shared" si="46"/>
        <v>0.55053089283130785</v>
      </c>
      <c r="CC176" s="94">
        <f>(BX176*12)+0.25</f>
        <v>3.37</v>
      </c>
      <c r="CD176" s="302"/>
      <c r="CE176" s="302"/>
      <c r="CF176" s="213" t="s">
        <v>164</v>
      </c>
      <c r="CG176" s="213">
        <v>12</v>
      </c>
      <c r="CH176" s="213">
        <v>14</v>
      </c>
      <c r="CI176" s="213">
        <v>6</v>
      </c>
      <c r="CJ176" s="27">
        <f t="shared" si="47"/>
        <v>1008</v>
      </c>
      <c r="CK176" s="27">
        <f t="shared" si="48"/>
        <v>333.08</v>
      </c>
      <c r="CL176" s="213" t="s">
        <v>257</v>
      </c>
      <c r="CM176" s="27" t="s">
        <v>137</v>
      </c>
      <c r="CN176" s="210"/>
      <c r="CO176" s="210"/>
      <c r="CP176" s="1"/>
      <c r="CQ176" s="1"/>
      <c r="CR176" s="1"/>
      <c r="CS176" s="1"/>
      <c r="CT176" s="1"/>
      <c r="CU176" s="1"/>
    </row>
    <row r="177" spans="1:99" s="211" customFormat="1" x14ac:dyDescent="0.25">
      <c r="A177" s="146">
        <v>42030</v>
      </c>
      <c r="B177" s="146"/>
      <c r="C177" s="212" t="s">
        <v>729</v>
      </c>
      <c r="D177" s="214" t="s">
        <v>54</v>
      </c>
      <c r="E177" s="214" t="s">
        <v>582</v>
      </c>
      <c r="F177" s="222" t="s">
        <v>730</v>
      </c>
      <c r="G177" s="222"/>
      <c r="H177" s="222"/>
      <c r="I177" s="222"/>
      <c r="J177" s="226" t="s">
        <v>731</v>
      </c>
      <c r="K177" s="31" t="s">
        <v>732</v>
      </c>
      <c r="L177" s="226"/>
      <c r="M177" s="31"/>
      <c r="N177" s="25"/>
      <c r="O177" s="26"/>
      <c r="P177" s="26"/>
      <c r="Q177" s="2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5" t="s">
        <v>733</v>
      </c>
      <c r="AO177" s="33"/>
      <c r="AP177" s="25"/>
      <c r="AQ177" s="33"/>
      <c r="AR177" s="212"/>
      <c r="AS177" s="33"/>
      <c r="AT177" s="25" t="s">
        <v>734</v>
      </c>
      <c r="AU177" s="25" t="s">
        <v>735</v>
      </c>
      <c r="AV177" s="31"/>
      <c r="AW177" s="31"/>
      <c r="AX177" s="31"/>
      <c r="AY177" s="31"/>
      <c r="AZ177" s="31"/>
      <c r="BA177" s="31"/>
      <c r="BB177" s="31"/>
      <c r="BC177" s="31"/>
      <c r="BD177" s="224"/>
      <c r="BE177" s="31"/>
      <c r="BF177" s="31"/>
      <c r="BG177" s="31"/>
      <c r="BH177" s="31"/>
      <c r="BI177" s="31"/>
      <c r="BJ177" s="25" t="s">
        <v>736</v>
      </c>
      <c r="BK177" s="235">
        <v>21.98</v>
      </c>
      <c r="BL177" s="218" t="s">
        <v>737</v>
      </c>
      <c r="BM177" s="219">
        <v>10038568740417</v>
      </c>
      <c r="BN177" s="93">
        <v>10.26</v>
      </c>
      <c r="BO177" s="93">
        <v>5.57</v>
      </c>
      <c r="BP177" s="93">
        <v>0.77</v>
      </c>
      <c r="BQ177" s="38"/>
      <c r="BR177" s="38"/>
      <c r="BS177" s="38"/>
      <c r="BT177" s="94">
        <v>10.26</v>
      </c>
      <c r="BU177" s="94">
        <v>5.57</v>
      </c>
      <c r="BV177" s="94">
        <v>0.77</v>
      </c>
      <c r="BW177" s="92">
        <f t="shared" si="49"/>
        <v>2.5465343750000001E-2</v>
      </c>
      <c r="BX177" s="94">
        <f>0.2+0.1</f>
        <v>0.30000000000000004</v>
      </c>
      <c r="BY177" s="221">
        <f>10.5+(0.125*2)</f>
        <v>10.75</v>
      </c>
      <c r="BZ177" s="221">
        <f>7+(0.125*2)</f>
        <v>7.25</v>
      </c>
      <c r="CA177" s="221">
        <f>4.12+(0.125*4)</f>
        <v>4.62</v>
      </c>
      <c r="CB177" s="92">
        <f t="shared" si="46"/>
        <v>0.2083745659722222</v>
      </c>
      <c r="CC177" s="94">
        <f>(BX177*3)+0.25</f>
        <v>1.1500000000000001</v>
      </c>
      <c r="CD177" s="302"/>
      <c r="CE177" s="302"/>
      <c r="CF177" s="213" t="s">
        <v>164</v>
      </c>
      <c r="CG177" s="213">
        <v>3</v>
      </c>
      <c r="CH177" s="213">
        <v>20</v>
      </c>
      <c r="CI177" s="213">
        <v>11</v>
      </c>
      <c r="CJ177" s="27">
        <f t="shared" si="47"/>
        <v>660</v>
      </c>
      <c r="CK177" s="27">
        <f t="shared" si="48"/>
        <v>303</v>
      </c>
      <c r="CL177" s="213" t="s">
        <v>140</v>
      </c>
      <c r="CM177" s="27" t="s">
        <v>137</v>
      </c>
      <c r="CN177" s="210"/>
      <c r="CO177" s="210"/>
      <c r="CP177" s="1"/>
      <c r="CQ177" s="1"/>
      <c r="CR177" s="1"/>
      <c r="CS177" s="1"/>
      <c r="CT177" s="1"/>
      <c r="CU177" s="1"/>
    </row>
    <row r="178" spans="1:99" s="211" customFormat="1" ht="30" x14ac:dyDescent="0.25">
      <c r="A178" s="146">
        <v>42030</v>
      </c>
      <c r="B178" s="146"/>
      <c r="C178" s="212" t="s">
        <v>738</v>
      </c>
      <c r="D178" s="214" t="s">
        <v>54</v>
      </c>
      <c r="E178" s="214"/>
      <c r="F178" s="222" t="s">
        <v>739</v>
      </c>
      <c r="G178" s="222"/>
      <c r="H178" s="222"/>
      <c r="I178" s="222"/>
      <c r="J178" s="226" t="s">
        <v>740</v>
      </c>
      <c r="K178" s="31"/>
      <c r="L178" s="226"/>
      <c r="M178" s="31"/>
      <c r="N178" s="25"/>
      <c r="O178" s="26"/>
      <c r="P178" s="26"/>
      <c r="Q178" s="2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5"/>
      <c r="AO178" s="33"/>
      <c r="AP178" s="25"/>
      <c r="AQ178" s="33"/>
      <c r="AR178" s="212"/>
      <c r="AS178" s="33"/>
      <c r="AT178" s="25"/>
      <c r="AU178" s="25"/>
      <c r="AV178" s="31"/>
      <c r="AW178" s="31"/>
      <c r="AX178" s="31"/>
      <c r="AY178" s="31"/>
      <c r="AZ178" s="31"/>
      <c r="BA178" s="31"/>
      <c r="BB178" s="31"/>
      <c r="BC178" s="31"/>
      <c r="BD178" s="224"/>
      <c r="BE178" s="31"/>
      <c r="BF178" s="31"/>
      <c r="BG178" s="31"/>
      <c r="BH178" s="31"/>
      <c r="BI178" s="31"/>
      <c r="BJ178" s="25"/>
      <c r="BK178" s="235">
        <v>283.43</v>
      </c>
      <c r="BL178" s="218" t="s">
        <v>741</v>
      </c>
      <c r="BM178" s="219">
        <v>10038568739961</v>
      </c>
      <c r="BN178" s="38"/>
      <c r="BO178" s="36"/>
      <c r="BP178" s="36"/>
      <c r="BQ178" s="38"/>
      <c r="BR178" s="38"/>
      <c r="BS178" s="38"/>
      <c r="BT178" s="519" t="s">
        <v>356</v>
      </c>
      <c r="BU178" s="519"/>
      <c r="BV178" s="519"/>
      <c r="BW178" s="519"/>
      <c r="BX178" s="519"/>
      <c r="BY178" s="221">
        <f>11.13+(0.125*2)</f>
        <v>11.38</v>
      </c>
      <c r="BZ178" s="221">
        <f>10.25+(0.125*2)</f>
        <v>10.5</v>
      </c>
      <c r="CA178" s="221">
        <f>5.63+(0.125*4)</f>
        <v>6.13</v>
      </c>
      <c r="CB178" s="92">
        <f t="shared" si="46"/>
        <v>0.42388524305555558</v>
      </c>
      <c r="CC178" s="94">
        <f>(0.86+0.75+0.44)+0.25</f>
        <v>2.2999999999999998</v>
      </c>
      <c r="CD178" s="302"/>
      <c r="CE178" s="302"/>
      <c r="CF178" s="213" t="s">
        <v>164</v>
      </c>
      <c r="CG178" s="213">
        <v>1</v>
      </c>
      <c r="CH178" s="213">
        <v>12</v>
      </c>
      <c r="CI178" s="213">
        <v>7</v>
      </c>
      <c r="CJ178" s="27">
        <f t="shared" si="47"/>
        <v>84</v>
      </c>
      <c r="CK178" s="27">
        <f t="shared" si="48"/>
        <v>243.2</v>
      </c>
      <c r="CL178" s="215" t="s">
        <v>742</v>
      </c>
      <c r="CM178" s="27" t="s">
        <v>137</v>
      </c>
      <c r="CN178" s="210"/>
      <c r="CO178" s="210"/>
      <c r="CP178" s="1"/>
      <c r="CQ178" s="1"/>
      <c r="CR178" s="1"/>
      <c r="CS178" s="1"/>
      <c r="CT178" s="1"/>
      <c r="CU178" s="1"/>
    </row>
    <row r="179" spans="1:99" s="211" customFormat="1" x14ac:dyDescent="0.25">
      <c r="A179" s="146">
        <v>42030</v>
      </c>
      <c r="B179" s="146"/>
      <c r="C179" s="212" t="s">
        <v>743</v>
      </c>
      <c r="D179" s="214" t="s">
        <v>581</v>
      </c>
      <c r="E179" s="214" t="s">
        <v>582</v>
      </c>
      <c r="F179" s="222" t="s">
        <v>744</v>
      </c>
      <c r="G179" s="222"/>
      <c r="H179" s="222"/>
      <c r="I179" s="222"/>
      <c r="J179" s="226" t="s">
        <v>334</v>
      </c>
      <c r="K179" s="31" t="s">
        <v>557</v>
      </c>
      <c r="L179" s="226"/>
      <c r="M179" s="31"/>
      <c r="N179" s="25"/>
      <c r="O179" s="26"/>
      <c r="P179" s="26"/>
      <c r="Q179" s="2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5" t="s">
        <v>745</v>
      </c>
      <c r="AO179" s="33"/>
      <c r="AP179" s="25"/>
      <c r="AQ179" s="33"/>
      <c r="AR179" s="212"/>
      <c r="AS179" s="33"/>
      <c r="AT179" s="25"/>
      <c r="AU179" s="25" t="s">
        <v>746</v>
      </c>
      <c r="AV179" s="120" t="s">
        <v>747</v>
      </c>
      <c r="AW179" s="31"/>
      <c r="AX179" s="31"/>
      <c r="AY179" s="31"/>
      <c r="AZ179" s="31"/>
      <c r="BA179" s="31"/>
      <c r="BB179" s="31"/>
      <c r="BC179" s="31"/>
      <c r="BD179" s="224"/>
      <c r="BE179" s="212" t="s">
        <v>748</v>
      </c>
      <c r="BF179" s="31"/>
      <c r="BG179" s="31"/>
      <c r="BH179" s="31"/>
      <c r="BI179" s="31"/>
      <c r="BJ179" s="25" t="s">
        <v>749</v>
      </c>
      <c r="BK179" s="217">
        <v>18.37</v>
      </c>
      <c r="BL179" s="218" t="s">
        <v>750</v>
      </c>
      <c r="BM179" s="219">
        <v>10038568742350</v>
      </c>
      <c r="BN179" s="93">
        <v>7.6</v>
      </c>
      <c r="BO179" s="93">
        <v>7.44</v>
      </c>
      <c r="BP179" s="93">
        <v>2.2799999999999998</v>
      </c>
      <c r="BQ179" s="38"/>
      <c r="BR179" s="38"/>
      <c r="BS179" s="38"/>
      <c r="BT179" s="94">
        <f>7.44+(0.018*2)</f>
        <v>7.476</v>
      </c>
      <c r="BU179" s="94">
        <f>2.75+(0.018*2)</f>
        <v>2.786</v>
      </c>
      <c r="BV179" s="94">
        <f>9.5+(0.018*4)</f>
        <v>9.5719999999999992</v>
      </c>
      <c r="BW179" s="92">
        <f t="shared" si="49"/>
        <v>0.11537437372222221</v>
      </c>
      <c r="BX179" s="94">
        <f>0.419+0.1</f>
        <v>0.51900000000000002</v>
      </c>
      <c r="BY179" s="221">
        <f>10+(0.125*2)</f>
        <v>10.25</v>
      </c>
      <c r="BZ179" s="221">
        <f>7.5+(0.125*2)</f>
        <v>7.75</v>
      </c>
      <c r="CA179" s="221">
        <f>10+(0.125*4)</f>
        <v>10.5</v>
      </c>
      <c r="CB179" s="92">
        <f t="shared" si="46"/>
        <v>0.4826931423611111</v>
      </c>
      <c r="CC179" s="94">
        <f>(BX179*3)+0.25</f>
        <v>1.8069999999999999</v>
      </c>
      <c r="CD179" s="302"/>
      <c r="CE179" s="302"/>
      <c r="CF179" s="213" t="s">
        <v>164</v>
      </c>
      <c r="CG179" s="213">
        <v>3</v>
      </c>
      <c r="CH179" s="213">
        <v>22</v>
      </c>
      <c r="CI179" s="213">
        <v>4</v>
      </c>
      <c r="CJ179" s="27">
        <f t="shared" si="47"/>
        <v>264</v>
      </c>
      <c r="CK179" s="27">
        <f t="shared" si="48"/>
        <v>209.01599999999999</v>
      </c>
      <c r="CL179" s="213" t="s">
        <v>136</v>
      </c>
      <c r="CM179" s="27" t="s">
        <v>137</v>
      </c>
      <c r="CN179" s="210"/>
      <c r="CO179" s="210"/>
      <c r="CP179" s="1"/>
      <c r="CQ179" s="1"/>
      <c r="CR179" s="1"/>
      <c r="CS179" s="1"/>
      <c r="CT179" s="1"/>
      <c r="CU179" s="1"/>
    </row>
    <row r="180" spans="1:99" s="211" customFormat="1" x14ac:dyDescent="0.25">
      <c r="A180" s="146">
        <v>42030</v>
      </c>
      <c r="B180" s="146"/>
      <c r="C180" s="213" t="s">
        <v>751</v>
      </c>
      <c r="D180" s="214" t="s">
        <v>581</v>
      </c>
      <c r="E180" s="214" t="s">
        <v>582</v>
      </c>
      <c r="F180" s="222" t="s">
        <v>752</v>
      </c>
      <c r="G180" s="222"/>
      <c r="H180" s="222"/>
      <c r="I180" s="222"/>
      <c r="J180" s="226" t="s">
        <v>91</v>
      </c>
      <c r="K180" s="31" t="s">
        <v>753</v>
      </c>
      <c r="L180" s="226" t="s">
        <v>47</v>
      </c>
      <c r="M180" s="31" t="s">
        <v>754</v>
      </c>
      <c r="N180" s="25"/>
      <c r="O180" s="26"/>
      <c r="P180" s="26"/>
      <c r="Q180" s="2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5" t="s">
        <v>755</v>
      </c>
      <c r="AO180" s="33"/>
      <c r="AP180" s="25"/>
      <c r="AQ180" s="33"/>
      <c r="AR180" s="212"/>
      <c r="AS180" s="33"/>
      <c r="AT180" s="25"/>
      <c r="AU180" s="25" t="s">
        <v>756</v>
      </c>
      <c r="AV180" s="120" t="s">
        <v>757</v>
      </c>
      <c r="AW180" s="31"/>
      <c r="AX180" s="31"/>
      <c r="AY180" s="31"/>
      <c r="AZ180" s="31"/>
      <c r="BA180" s="31"/>
      <c r="BB180" s="31"/>
      <c r="BC180" s="31"/>
      <c r="BD180" s="224"/>
      <c r="BE180" s="212" t="s">
        <v>758</v>
      </c>
      <c r="BF180" s="31"/>
      <c r="BG180" s="31"/>
      <c r="BH180" s="31"/>
      <c r="BI180" s="31"/>
      <c r="BJ180" s="25"/>
      <c r="BK180" s="217">
        <v>14.67</v>
      </c>
      <c r="BL180" s="218" t="s">
        <v>759</v>
      </c>
      <c r="BM180" s="219">
        <v>10038568742367</v>
      </c>
      <c r="BN180" s="93">
        <v>8.0299999999999994</v>
      </c>
      <c r="BO180" s="93">
        <v>6.02</v>
      </c>
      <c r="BP180" s="93">
        <v>2.2200000000000002</v>
      </c>
      <c r="BQ180" s="38"/>
      <c r="BR180" s="38"/>
      <c r="BS180" s="38"/>
      <c r="BT180" s="94">
        <f>9.75+(0.018*2)</f>
        <v>9.7859999999999996</v>
      </c>
      <c r="BU180" s="94">
        <f>2.31+(0.018*2)</f>
        <v>2.3460000000000001</v>
      </c>
      <c r="BV180" s="94">
        <f>9.75+(0.018*4)</f>
        <v>9.8219999999999992</v>
      </c>
      <c r="BW180" s="92">
        <f t="shared" si="49"/>
        <v>0.13049365962499998</v>
      </c>
      <c r="BX180" s="94">
        <f>0.375+0.1</f>
        <v>0.47499999999999998</v>
      </c>
      <c r="BY180" s="221">
        <f>10+(0.125*2)</f>
        <v>10.25</v>
      </c>
      <c r="BZ180" s="221">
        <f>7.5+(0.125*2)</f>
        <v>7.75</v>
      </c>
      <c r="CA180" s="221">
        <f>10+(0.125*4)</f>
        <v>10.5</v>
      </c>
      <c r="CB180" s="92">
        <f t="shared" si="46"/>
        <v>0.4826931423611111</v>
      </c>
      <c r="CC180" s="94">
        <f t="shared" ref="CC180" si="50">(BX180*3)+0.25</f>
        <v>1.6749999999999998</v>
      </c>
      <c r="CD180" s="302"/>
      <c r="CE180" s="302"/>
      <c r="CF180" s="213" t="s">
        <v>164</v>
      </c>
      <c r="CG180" s="213">
        <v>3</v>
      </c>
      <c r="CH180" s="213">
        <v>22</v>
      </c>
      <c r="CI180" s="213">
        <v>4</v>
      </c>
      <c r="CJ180" s="27">
        <f t="shared" si="47"/>
        <v>264</v>
      </c>
      <c r="CK180" s="27">
        <f t="shared" si="48"/>
        <v>197.39999999999998</v>
      </c>
      <c r="CL180" s="213" t="s">
        <v>136</v>
      </c>
      <c r="CM180" s="27" t="s">
        <v>137</v>
      </c>
      <c r="CN180" s="210"/>
      <c r="CO180" s="210"/>
      <c r="CP180" s="1"/>
      <c r="CQ180" s="1"/>
      <c r="CR180" s="1"/>
      <c r="CS180" s="1"/>
      <c r="CT180" s="1"/>
      <c r="CU180" s="1"/>
    </row>
    <row r="181" spans="1:99" s="211" customFormat="1" ht="30" x14ac:dyDescent="0.25">
      <c r="A181" s="146">
        <v>42030</v>
      </c>
      <c r="B181" s="146"/>
      <c r="C181" s="212" t="s">
        <v>719</v>
      </c>
      <c r="D181" s="214" t="s">
        <v>54</v>
      </c>
      <c r="E181" s="214" t="s">
        <v>720</v>
      </c>
      <c r="F181" s="222" t="s">
        <v>721</v>
      </c>
      <c r="G181" s="222"/>
      <c r="H181" s="222"/>
      <c r="I181" s="222"/>
      <c r="J181" s="226" t="s">
        <v>722</v>
      </c>
      <c r="K181" s="31" t="s">
        <v>723</v>
      </c>
      <c r="L181" s="226" t="s">
        <v>722</v>
      </c>
      <c r="M181" s="31">
        <v>1521527</v>
      </c>
      <c r="N181" s="25"/>
      <c r="O181" s="26"/>
      <c r="P181" s="26"/>
      <c r="Q181" s="2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5" t="s">
        <v>724</v>
      </c>
      <c r="AO181" s="33"/>
      <c r="AP181" s="25"/>
      <c r="AQ181" s="33"/>
      <c r="AR181" s="212" t="s">
        <v>725</v>
      </c>
      <c r="AS181" s="33"/>
      <c r="AT181" s="25" t="s">
        <v>726</v>
      </c>
      <c r="AU181" s="25"/>
      <c r="AV181" s="31"/>
      <c r="AW181" s="31" t="s">
        <v>727</v>
      </c>
      <c r="AX181" s="31"/>
      <c r="AY181" s="31"/>
      <c r="AZ181" s="31"/>
      <c r="BA181" s="31"/>
      <c r="BB181" s="31"/>
      <c r="BC181" s="31"/>
      <c r="BD181" s="224"/>
      <c r="BE181" s="31"/>
      <c r="BF181" s="31"/>
      <c r="BG181" s="31"/>
      <c r="BH181" s="31"/>
      <c r="BI181" s="31"/>
      <c r="BJ181" s="25"/>
      <c r="BK181" s="235">
        <v>17.7</v>
      </c>
      <c r="BL181" s="218" t="s">
        <v>728</v>
      </c>
      <c r="BM181" s="219">
        <v>10038568737998</v>
      </c>
      <c r="BN181" s="38"/>
      <c r="BO181" s="36"/>
      <c r="BP181" s="36"/>
      <c r="BQ181" s="92">
        <v>2.52</v>
      </c>
      <c r="BR181" s="92">
        <v>5.75</v>
      </c>
      <c r="BS181" s="92">
        <v>1.06</v>
      </c>
      <c r="BT181" s="94">
        <f>3.0625+(0.018*2)</f>
        <v>3.0985</v>
      </c>
      <c r="BU181" s="94">
        <f>3.0625+(0.018*2)</f>
        <v>3.0985</v>
      </c>
      <c r="BV181" s="94">
        <f>6.75+(0.018*4)</f>
        <v>6.8220000000000001</v>
      </c>
      <c r="BW181" s="92">
        <f t="shared" si="49"/>
        <v>3.7902772424479161E-2</v>
      </c>
      <c r="BX181" s="94">
        <f>0.16+0.1</f>
        <v>0.26</v>
      </c>
      <c r="BY181" s="221">
        <f>12.8125+(0.125*2)</f>
        <v>13.0625</v>
      </c>
      <c r="BZ181" s="221">
        <f>9.625+(0.125*2)</f>
        <v>9.875</v>
      </c>
      <c r="CA181" s="221">
        <f>6.875+(0.125*4)</f>
        <v>7.375</v>
      </c>
      <c r="CB181" s="92">
        <f t="shared" si="46"/>
        <v>0.55053089283130785</v>
      </c>
      <c r="CC181" s="94">
        <f>(BX181*12)+0.25</f>
        <v>3.37</v>
      </c>
      <c r="CD181" s="302"/>
      <c r="CE181" s="302"/>
      <c r="CF181" s="213" t="s">
        <v>164</v>
      </c>
      <c r="CG181" s="213">
        <v>12</v>
      </c>
      <c r="CH181" s="213">
        <v>14</v>
      </c>
      <c r="CI181" s="213">
        <v>6</v>
      </c>
      <c r="CJ181" s="27">
        <f t="shared" si="47"/>
        <v>1008</v>
      </c>
      <c r="CK181" s="27">
        <f t="shared" si="48"/>
        <v>333.08</v>
      </c>
      <c r="CL181" s="213" t="s">
        <v>257</v>
      </c>
      <c r="CM181" s="27" t="s">
        <v>137</v>
      </c>
      <c r="CN181" s="210"/>
      <c r="CO181" s="210"/>
      <c r="CP181" s="1"/>
      <c r="CQ181" s="1"/>
      <c r="CR181" s="1"/>
      <c r="CS181" s="1"/>
      <c r="CT181" s="1"/>
      <c r="CU181" s="1"/>
    </row>
    <row r="182" spans="1:99" s="211" customFormat="1" x14ac:dyDescent="0.25">
      <c r="A182" s="146">
        <v>42030</v>
      </c>
      <c r="B182" s="146"/>
      <c r="C182" s="212" t="s">
        <v>729</v>
      </c>
      <c r="D182" s="214" t="s">
        <v>54</v>
      </c>
      <c r="E182" s="214" t="s">
        <v>582</v>
      </c>
      <c r="F182" s="222" t="s">
        <v>730</v>
      </c>
      <c r="G182" s="222"/>
      <c r="H182" s="222"/>
      <c r="I182" s="222"/>
      <c r="J182" s="226" t="s">
        <v>731</v>
      </c>
      <c r="K182" s="31" t="s">
        <v>732</v>
      </c>
      <c r="L182" s="226"/>
      <c r="M182" s="31"/>
      <c r="N182" s="25"/>
      <c r="O182" s="26"/>
      <c r="P182" s="26"/>
      <c r="Q182" s="2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  <c r="AJ182" s="216"/>
      <c r="AK182" s="216"/>
      <c r="AL182" s="216"/>
      <c r="AM182" s="216"/>
      <c r="AN182" s="25" t="s">
        <v>733</v>
      </c>
      <c r="AO182" s="33"/>
      <c r="AP182" s="25"/>
      <c r="AQ182" s="33"/>
      <c r="AR182" s="212"/>
      <c r="AS182" s="33"/>
      <c r="AT182" s="25" t="s">
        <v>734</v>
      </c>
      <c r="AU182" s="25" t="s">
        <v>735</v>
      </c>
      <c r="AV182" s="31"/>
      <c r="AW182" s="31"/>
      <c r="AX182" s="31"/>
      <c r="AY182" s="31"/>
      <c r="AZ182" s="31"/>
      <c r="BA182" s="31"/>
      <c r="BB182" s="31"/>
      <c r="BC182" s="31"/>
      <c r="BD182" s="224"/>
      <c r="BE182" s="31"/>
      <c r="BF182" s="31"/>
      <c r="BG182" s="31"/>
      <c r="BH182" s="31"/>
      <c r="BI182" s="31"/>
      <c r="BJ182" s="25" t="s">
        <v>736</v>
      </c>
      <c r="BK182" s="235">
        <v>21.98</v>
      </c>
      <c r="BL182" s="218" t="s">
        <v>737</v>
      </c>
      <c r="BM182" s="219">
        <v>10038568740417</v>
      </c>
      <c r="BN182" s="93">
        <v>10.26</v>
      </c>
      <c r="BO182" s="93">
        <v>5.57</v>
      </c>
      <c r="BP182" s="93">
        <v>0.77</v>
      </c>
      <c r="BQ182" s="38"/>
      <c r="BR182" s="38"/>
      <c r="BS182" s="38"/>
      <c r="BT182" s="94">
        <v>10.26</v>
      </c>
      <c r="BU182" s="94">
        <v>5.57</v>
      </c>
      <c r="BV182" s="94">
        <v>0.77</v>
      </c>
      <c r="BW182" s="92">
        <f t="shared" si="49"/>
        <v>2.5465343750000001E-2</v>
      </c>
      <c r="BX182" s="94">
        <f>0.2+0.1</f>
        <v>0.30000000000000004</v>
      </c>
      <c r="BY182" s="221">
        <f>10.5+(0.125*2)</f>
        <v>10.75</v>
      </c>
      <c r="BZ182" s="221">
        <f>7+(0.125*2)</f>
        <v>7.25</v>
      </c>
      <c r="CA182" s="221">
        <f>4.12+(0.125*4)</f>
        <v>4.62</v>
      </c>
      <c r="CB182" s="92">
        <f t="shared" si="46"/>
        <v>0.2083745659722222</v>
      </c>
      <c r="CC182" s="94">
        <f>(BX182*3)+0.25</f>
        <v>1.1500000000000001</v>
      </c>
      <c r="CD182" s="302"/>
      <c r="CE182" s="302"/>
      <c r="CF182" s="213" t="s">
        <v>164</v>
      </c>
      <c r="CG182" s="213">
        <v>3</v>
      </c>
      <c r="CH182" s="213">
        <v>20</v>
      </c>
      <c r="CI182" s="213">
        <v>11</v>
      </c>
      <c r="CJ182" s="27">
        <f t="shared" si="47"/>
        <v>660</v>
      </c>
      <c r="CK182" s="27">
        <f t="shared" si="48"/>
        <v>303</v>
      </c>
      <c r="CL182" s="213" t="s">
        <v>140</v>
      </c>
      <c r="CM182" s="27" t="s">
        <v>137</v>
      </c>
      <c r="CN182" s="210"/>
      <c r="CO182" s="210"/>
      <c r="CP182" s="1"/>
      <c r="CQ182" s="1"/>
      <c r="CR182" s="1"/>
      <c r="CS182" s="1"/>
      <c r="CT182" s="1"/>
      <c r="CU182" s="1"/>
    </row>
    <row r="183" spans="1:99" s="211" customFormat="1" ht="30" x14ac:dyDescent="0.25">
      <c r="A183" s="146">
        <v>42030</v>
      </c>
      <c r="B183" s="146"/>
      <c r="C183" s="212" t="s">
        <v>738</v>
      </c>
      <c r="D183" s="214" t="s">
        <v>54</v>
      </c>
      <c r="E183" s="214"/>
      <c r="F183" s="222" t="s">
        <v>739</v>
      </c>
      <c r="G183" s="222"/>
      <c r="H183" s="222"/>
      <c r="I183" s="222"/>
      <c r="J183" s="226" t="s">
        <v>740</v>
      </c>
      <c r="K183" s="31"/>
      <c r="L183" s="226"/>
      <c r="M183" s="31"/>
      <c r="N183" s="25"/>
      <c r="O183" s="26"/>
      <c r="P183" s="26"/>
      <c r="Q183" s="2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I183" s="216"/>
      <c r="AJ183" s="216"/>
      <c r="AK183" s="216"/>
      <c r="AL183" s="216"/>
      <c r="AM183" s="216"/>
      <c r="AN183" s="25"/>
      <c r="AO183" s="33"/>
      <c r="AP183" s="25"/>
      <c r="AQ183" s="33"/>
      <c r="AR183" s="212"/>
      <c r="AS183" s="33"/>
      <c r="AT183" s="25"/>
      <c r="AU183" s="25"/>
      <c r="AV183" s="31"/>
      <c r="AW183" s="31"/>
      <c r="AX183" s="31"/>
      <c r="AY183" s="31"/>
      <c r="AZ183" s="31"/>
      <c r="BA183" s="31"/>
      <c r="BB183" s="31"/>
      <c r="BC183" s="31"/>
      <c r="BD183" s="224"/>
      <c r="BE183" s="31"/>
      <c r="BF183" s="31"/>
      <c r="BG183" s="31"/>
      <c r="BH183" s="31"/>
      <c r="BI183" s="31"/>
      <c r="BJ183" s="25"/>
      <c r="BK183" s="235">
        <v>283.43</v>
      </c>
      <c r="BL183" s="218" t="s">
        <v>741</v>
      </c>
      <c r="BM183" s="219">
        <v>10038568739961</v>
      </c>
      <c r="BN183" s="38"/>
      <c r="BO183" s="36"/>
      <c r="BP183" s="36"/>
      <c r="BQ183" s="38"/>
      <c r="BR183" s="38"/>
      <c r="BS183" s="38"/>
      <c r="BT183" s="519" t="s">
        <v>356</v>
      </c>
      <c r="BU183" s="519"/>
      <c r="BV183" s="519"/>
      <c r="BW183" s="519"/>
      <c r="BX183" s="519"/>
      <c r="BY183" s="221">
        <f>11.13+(0.125*2)</f>
        <v>11.38</v>
      </c>
      <c r="BZ183" s="221">
        <f>10.25+(0.125*2)</f>
        <v>10.5</v>
      </c>
      <c r="CA183" s="221">
        <f>5.63+(0.125*4)</f>
        <v>6.13</v>
      </c>
      <c r="CB183" s="92">
        <f t="shared" si="46"/>
        <v>0.42388524305555558</v>
      </c>
      <c r="CC183" s="94">
        <f>(0.86+0.75+0.44)+0.25</f>
        <v>2.2999999999999998</v>
      </c>
      <c r="CD183" s="302"/>
      <c r="CE183" s="302"/>
      <c r="CF183" s="213" t="s">
        <v>164</v>
      </c>
      <c r="CG183" s="213">
        <v>1</v>
      </c>
      <c r="CH183" s="213">
        <v>12</v>
      </c>
      <c r="CI183" s="213">
        <v>7</v>
      </c>
      <c r="CJ183" s="27">
        <f t="shared" si="47"/>
        <v>84</v>
      </c>
      <c r="CK183" s="27">
        <f t="shared" si="48"/>
        <v>243.2</v>
      </c>
      <c r="CL183" s="215" t="s">
        <v>742</v>
      </c>
      <c r="CM183" s="27" t="s">
        <v>137</v>
      </c>
      <c r="CN183" s="210"/>
      <c r="CO183" s="210"/>
      <c r="CP183" s="1"/>
      <c r="CQ183" s="1"/>
      <c r="CR183" s="1"/>
      <c r="CS183" s="1"/>
      <c r="CT183" s="1"/>
      <c r="CU183" s="1"/>
    </row>
    <row r="184" spans="1:99" s="211" customFormat="1" x14ac:dyDescent="0.25">
      <c r="A184" s="146">
        <v>42030</v>
      </c>
      <c r="B184" s="146"/>
      <c r="C184" s="212" t="s">
        <v>743</v>
      </c>
      <c r="D184" s="214" t="s">
        <v>581</v>
      </c>
      <c r="E184" s="214" t="s">
        <v>582</v>
      </c>
      <c r="F184" s="222" t="s">
        <v>744</v>
      </c>
      <c r="G184" s="222"/>
      <c r="H184" s="222"/>
      <c r="I184" s="222"/>
      <c r="J184" s="226" t="s">
        <v>334</v>
      </c>
      <c r="K184" s="31" t="s">
        <v>557</v>
      </c>
      <c r="L184" s="226"/>
      <c r="M184" s="31"/>
      <c r="N184" s="25"/>
      <c r="O184" s="26"/>
      <c r="P184" s="26"/>
      <c r="Q184" s="2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6"/>
      <c r="AI184" s="216"/>
      <c r="AJ184" s="216"/>
      <c r="AK184" s="216"/>
      <c r="AL184" s="216"/>
      <c r="AM184" s="216"/>
      <c r="AN184" s="25" t="s">
        <v>745</v>
      </c>
      <c r="AO184" s="33"/>
      <c r="AP184" s="25"/>
      <c r="AQ184" s="33"/>
      <c r="AR184" s="212"/>
      <c r="AS184" s="33"/>
      <c r="AT184" s="25"/>
      <c r="AU184" s="25" t="s">
        <v>746</v>
      </c>
      <c r="AV184" s="120" t="s">
        <v>747</v>
      </c>
      <c r="AW184" s="31"/>
      <c r="AX184" s="31"/>
      <c r="AY184" s="31"/>
      <c r="AZ184" s="31"/>
      <c r="BA184" s="31"/>
      <c r="BB184" s="31"/>
      <c r="BC184" s="31"/>
      <c r="BD184" s="224"/>
      <c r="BE184" s="212" t="s">
        <v>748</v>
      </c>
      <c r="BF184" s="31"/>
      <c r="BG184" s="31"/>
      <c r="BH184" s="31"/>
      <c r="BI184" s="31"/>
      <c r="BJ184" s="25" t="s">
        <v>749</v>
      </c>
      <c r="BK184" s="217">
        <v>18.37</v>
      </c>
      <c r="BL184" s="218" t="s">
        <v>750</v>
      </c>
      <c r="BM184" s="219">
        <v>10038568742350</v>
      </c>
      <c r="BN184" s="93">
        <v>7.6</v>
      </c>
      <c r="BO184" s="93">
        <v>7.44</v>
      </c>
      <c r="BP184" s="93">
        <v>2.2799999999999998</v>
      </c>
      <c r="BQ184" s="38"/>
      <c r="BR184" s="38"/>
      <c r="BS184" s="38"/>
      <c r="BT184" s="94">
        <f>7.44+(0.018*2)</f>
        <v>7.476</v>
      </c>
      <c r="BU184" s="94">
        <f>2.75+(0.018*2)</f>
        <v>2.786</v>
      </c>
      <c r="BV184" s="94">
        <f>9.5+(0.018*4)</f>
        <v>9.5719999999999992</v>
      </c>
      <c r="BW184" s="92">
        <f t="shared" si="49"/>
        <v>0.11537437372222221</v>
      </c>
      <c r="BX184" s="94">
        <f>0.419+0.1</f>
        <v>0.51900000000000002</v>
      </c>
      <c r="BY184" s="221">
        <f>10+(0.125*2)</f>
        <v>10.25</v>
      </c>
      <c r="BZ184" s="221">
        <f>7.5+(0.125*2)</f>
        <v>7.75</v>
      </c>
      <c r="CA184" s="221">
        <f>10+(0.125*4)</f>
        <v>10.5</v>
      </c>
      <c r="CB184" s="92">
        <f t="shared" si="46"/>
        <v>0.4826931423611111</v>
      </c>
      <c r="CC184" s="94">
        <f>(BX184*3)+0.25</f>
        <v>1.8069999999999999</v>
      </c>
      <c r="CD184" s="302"/>
      <c r="CE184" s="302"/>
      <c r="CF184" s="213" t="s">
        <v>164</v>
      </c>
      <c r="CG184" s="213">
        <v>3</v>
      </c>
      <c r="CH184" s="213">
        <v>22</v>
      </c>
      <c r="CI184" s="213">
        <v>4</v>
      </c>
      <c r="CJ184" s="27">
        <f t="shared" si="47"/>
        <v>264</v>
      </c>
      <c r="CK184" s="27">
        <f t="shared" si="48"/>
        <v>209.01599999999999</v>
      </c>
      <c r="CL184" s="213" t="s">
        <v>136</v>
      </c>
      <c r="CM184" s="27" t="s">
        <v>137</v>
      </c>
      <c r="CN184" s="210"/>
      <c r="CO184" s="210"/>
      <c r="CP184" s="1"/>
      <c r="CQ184" s="1"/>
      <c r="CR184" s="1"/>
      <c r="CS184" s="1"/>
      <c r="CT184" s="1"/>
      <c r="CU184" s="1"/>
    </row>
    <row r="185" spans="1:99" s="211" customFormat="1" x14ac:dyDescent="0.25">
      <c r="A185" s="146">
        <v>42030</v>
      </c>
      <c r="B185" s="146"/>
      <c r="C185" s="213" t="s">
        <v>751</v>
      </c>
      <c r="D185" s="214" t="s">
        <v>581</v>
      </c>
      <c r="E185" s="214" t="s">
        <v>582</v>
      </c>
      <c r="F185" s="222" t="s">
        <v>752</v>
      </c>
      <c r="G185" s="222"/>
      <c r="H185" s="222"/>
      <c r="I185" s="222"/>
      <c r="J185" s="226" t="s">
        <v>91</v>
      </c>
      <c r="K185" s="31" t="s">
        <v>753</v>
      </c>
      <c r="L185" s="226" t="s">
        <v>47</v>
      </c>
      <c r="M185" s="31" t="s">
        <v>754</v>
      </c>
      <c r="N185" s="25"/>
      <c r="O185" s="26"/>
      <c r="P185" s="26"/>
      <c r="Q185" s="2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6"/>
      <c r="AK185" s="216"/>
      <c r="AL185" s="216"/>
      <c r="AM185" s="216"/>
      <c r="AN185" s="25" t="s">
        <v>755</v>
      </c>
      <c r="AO185" s="33"/>
      <c r="AP185" s="25"/>
      <c r="AQ185" s="33"/>
      <c r="AR185" s="212"/>
      <c r="AS185" s="33"/>
      <c r="AT185" s="25"/>
      <c r="AU185" s="25" t="s">
        <v>756</v>
      </c>
      <c r="AV185" s="120" t="s">
        <v>757</v>
      </c>
      <c r="AW185" s="31"/>
      <c r="AX185" s="31"/>
      <c r="AY185" s="31"/>
      <c r="AZ185" s="31"/>
      <c r="BA185" s="31"/>
      <c r="BB185" s="31"/>
      <c r="BC185" s="31"/>
      <c r="BD185" s="224"/>
      <c r="BE185" s="212" t="s">
        <v>758</v>
      </c>
      <c r="BF185" s="31"/>
      <c r="BG185" s="31"/>
      <c r="BH185" s="31"/>
      <c r="BI185" s="31"/>
      <c r="BJ185" s="25"/>
      <c r="BK185" s="217">
        <v>14.67</v>
      </c>
      <c r="BL185" s="218" t="s">
        <v>759</v>
      </c>
      <c r="BM185" s="219">
        <v>10038568742367</v>
      </c>
      <c r="BN185" s="93">
        <v>8.0299999999999994</v>
      </c>
      <c r="BO185" s="93">
        <v>6.02</v>
      </c>
      <c r="BP185" s="93">
        <v>2.2200000000000002</v>
      </c>
      <c r="BQ185" s="38"/>
      <c r="BR185" s="38"/>
      <c r="BS185" s="38"/>
      <c r="BT185" s="94">
        <f>9.75+(0.018*2)</f>
        <v>9.7859999999999996</v>
      </c>
      <c r="BU185" s="94">
        <f>2.31+(0.018*2)</f>
        <v>2.3460000000000001</v>
      </c>
      <c r="BV185" s="94">
        <f>9.75+(0.018*4)</f>
        <v>9.8219999999999992</v>
      </c>
      <c r="BW185" s="92">
        <f t="shared" si="49"/>
        <v>0.13049365962499998</v>
      </c>
      <c r="BX185" s="94">
        <f>0.375+0.1</f>
        <v>0.47499999999999998</v>
      </c>
      <c r="BY185" s="221">
        <f>10+(0.125*2)</f>
        <v>10.25</v>
      </c>
      <c r="BZ185" s="221">
        <f>7.5+(0.125*2)</f>
        <v>7.75</v>
      </c>
      <c r="CA185" s="221">
        <f>10+(0.125*4)</f>
        <v>10.5</v>
      </c>
      <c r="CB185" s="92">
        <f t="shared" si="46"/>
        <v>0.4826931423611111</v>
      </c>
      <c r="CC185" s="94">
        <f t="shared" ref="CC185" si="51">(BX185*3)+0.25</f>
        <v>1.6749999999999998</v>
      </c>
      <c r="CD185" s="302"/>
      <c r="CE185" s="302"/>
      <c r="CF185" s="213" t="s">
        <v>164</v>
      </c>
      <c r="CG185" s="213">
        <v>3</v>
      </c>
      <c r="CH185" s="213">
        <v>22</v>
      </c>
      <c r="CI185" s="213">
        <v>4</v>
      </c>
      <c r="CJ185" s="27">
        <f t="shared" si="47"/>
        <v>264</v>
      </c>
      <c r="CK185" s="27">
        <f t="shared" si="48"/>
        <v>197.39999999999998</v>
      </c>
      <c r="CL185" s="213" t="s">
        <v>136</v>
      </c>
      <c r="CM185" s="27" t="s">
        <v>137</v>
      </c>
      <c r="CN185" s="210"/>
      <c r="CO185" s="210"/>
      <c r="CP185" s="1"/>
      <c r="CQ185" s="1"/>
      <c r="CR185" s="1"/>
      <c r="CS185" s="1"/>
      <c r="CT185" s="1"/>
      <c r="CU185" s="1"/>
    </row>
    <row r="186" spans="1:99" s="106" customFormat="1" ht="30" x14ac:dyDescent="0.25">
      <c r="A186" s="146">
        <v>42013</v>
      </c>
      <c r="B186" s="146"/>
      <c r="C186" s="214" t="s">
        <v>760</v>
      </c>
      <c r="D186" s="215" t="s">
        <v>54</v>
      </c>
      <c r="E186" s="214" t="s">
        <v>606</v>
      </c>
      <c r="F186" s="236" t="s">
        <v>761</v>
      </c>
      <c r="G186" s="236"/>
      <c r="H186" s="236"/>
      <c r="I186" s="236"/>
      <c r="J186" s="226" t="s">
        <v>351</v>
      </c>
      <c r="K186" s="31" t="s">
        <v>762</v>
      </c>
      <c r="L186" s="226" t="s">
        <v>351</v>
      </c>
      <c r="M186" s="31" t="s">
        <v>763</v>
      </c>
      <c r="N186" s="237"/>
      <c r="O186" s="237"/>
      <c r="P186" s="237"/>
      <c r="Q186" s="237"/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237"/>
      <c r="AM186" s="237"/>
      <c r="AN186" s="25" t="s">
        <v>764</v>
      </c>
      <c r="AO186" s="33"/>
      <c r="AP186" s="25"/>
      <c r="AQ186" s="33"/>
      <c r="AR186" s="212"/>
      <c r="AS186" s="33"/>
      <c r="AT186" s="25" t="s">
        <v>765</v>
      </c>
      <c r="AU186" s="25"/>
      <c r="AV186" s="31"/>
      <c r="AW186" s="31"/>
      <c r="AX186" s="31"/>
      <c r="AY186" s="31"/>
      <c r="AZ186" s="31"/>
      <c r="BA186" s="31"/>
      <c r="BB186" s="31"/>
      <c r="BC186" s="31"/>
      <c r="BD186" s="224"/>
      <c r="BE186" s="31"/>
      <c r="BF186" s="31"/>
      <c r="BG186" s="31"/>
      <c r="BH186" s="31"/>
      <c r="BI186" s="31"/>
      <c r="BJ186" s="25" t="s">
        <v>766</v>
      </c>
      <c r="BK186" s="235">
        <v>59.68</v>
      </c>
      <c r="BL186" s="218" t="s">
        <v>767</v>
      </c>
      <c r="BM186" s="219">
        <v>10038568740295</v>
      </c>
      <c r="BN186" s="36"/>
      <c r="BO186" s="36"/>
      <c r="BP186" s="36"/>
      <c r="BQ186" s="92">
        <v>6.3</v>
      </c>
      <c r="BR186" s="92">
        <v>7.36</v>
      </c>
      <c r="BS186" s="38"/>
      <c r="BT186" s="519" t="s">
        <v>356</v>
      </c>
      <c r="BU186" s="519"/>
      <c r="BV186" s="519"/>
      <c r="BW186" s="519"/>
      <c r="BX186" s="519"/>
      <c r="BY186" s="94">
        <f>14.75+(0.153*2)</f>
        <v>15.055999999999999</v>
      </c>
      <c r="BZ186" s="94">
        <f>9.75+(0.153*2)</f>
        <v>10.055999999999999</v>
      </c>
      <c r="CA186" s="94">
        <f>14.13+(0.153*4)</f>
        <v>14.742000000000001</v>
      </c>
      <c r="CB186" s="92">
        <f t="shared" si="46"/>
        <v>1.2916580039999999</v>
      </c>
      <c r="CC186" s="94">
        <f>(2.5*6)+0.25</f>
        <v>15.25</v>
      </c>
      <c r="CD186" s="302"/>
      <c r="CE186" s="302"/>
      <c r="CF186" s="105" t="s">
        <v>164</v>
      </c>
      <c r="CG186" s="27">
        <v>6</v>
      </c>
      <c r="CH186" s="27">
        <v>12</v>
      </c>
      <c r="CI186" s="27">
        <v>3</v>
      </c>
      <c r="CJ186" s="27">
        <f t="shared" si="47"/>
        <v>216</v>
      </c>
      <c r="CK186" s="27">
        <f t="shared" si="48"/>
        <v>599</v>
      </c>
      <c r="CL186" s="27" t="s">
        <v>257</v>
      </c>
      <c r="CM186" s="27" t="s">
        <v>137</v>
      </c>
      <c r="CN186" s="238"/>
      <c r="CO186" s="238"/>
      <c r="CP186" s="14"/>
      <c r="CQ186" s="14"/>
      <c r="CR186" s="14"/>
      <c r="CS186" s="14"/>
      <c r="CT186" s="14"/>
      <c r="CU186" s="14"/>
    </row>
    <row r="187" spans="1:99" s="106" customFormat="1" ht="30" x14ac:dyDescent="0.25">
      <c r="A187" s="146">
        <v>42013</v>
      </c>
      <c r="B187" s="146"/>
      <c r="C187" s="214" t="s">
        <v>768</v>
      </c>
      <c r="D187" s="215" t="s">
        <v>54</v>
      </c>
      <c r="E187" s="214" t="s">
        <v>582</v>
      </c>
      <c r="F187" s="222" t="s">
        <v>769</v>
      </c>
      <c r="G187" s="222"/>
      <c r="H187" s="222"/>
      <c r="I187" s="222"/>
      <c r="J187" s="31" t="s">
        <v>351</v>
      </c>
      <c r="K187" s="226" t="s">
        <v>770</v>
      </c>
      <c r="L187" s="31"/>
      <c r="M187" s="31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5" t="s">
        <v>771</v>
      </c>
      <c r="AO187" s="33"/>
      <c r="AP187" s="25"/>
      <c r="AQ187" s="33"/>
      <c r="AR187" s="25" t="s">
        <v>772</v>
      </c>
      <c r="AS187" s="33"/>
      <c r="AT187" s="25" t="s">
        <v>773</v>
      </c>
      <c r="AU187" s="25" t="s">
        <v>774</v>
      </c>
      <c r="AV187" s="31"/>
      <c r="AW187" s="31"/>
      <c r="AX187" s="31"/>
      <c r="AY187" s="31"/>
      <c r="AZ187" s="31"/>
      <c r="BA187" s="31"/>
      <c r="BB187" s="31"/>
      <c r="BC187" s="31"/>
      <c r="BD187" s="224"/>
      <c r="BE187" s="31"/>
      <c r="BF187" s="31"/>
      <c r="BG187" s="31"/>
      <c r="BH187" s="31"/>
      <c r="BI187" s="31"/>
      <c r="BJ187" s="25" t="s">
        <v>775</v>
      </c>
      <c r="BK187" s="235">
        <v>106.8</v>
      </c>
      <c r="BL187" s="218" t="s">
        <v>776</v>
      </c>
      <c r="BM187" s="219">
        <v>10038568736526</v>
      </c>
      <c r="BN187" s="93">
        <v>12.2</v>
      </c>
      <c r="BO187" s="93">
        <v>4.87</v>
      </c>
      <c r="BP187" s="93">
        <v>7.2</v>
      </c>
      <c r="BQ187" s="38"/>
      <c r="BR187" s="38"/>
      <c r="BS187" s="38"/>
      <c r="BT187" s="519" t="s">
        <v>356</v>
      </c>
      <c r="BU187" s="519"/>
      <c r="BV187" s="519"/>
      <c r="BW187" s="519"/>
      <c r="BX187" s="519"/>
      <c r="BY187" s="94">
        <f>13.25+(0.153*2)</f>
        <v>13.555999999999999</v>
      </c>
      <c r="BZ187" s="94">
        <f>6+(0.153*2)</f>
        <v>6.306</v>
      </c>
      <c r="CA187" s="94">
        <f>7.5+(0.153*4)</f>
        <v>8.1120000000000001</v>
      </c>
      <c r="CB187" s="92">
        <f t="shared" si="46"/>
        <v>0.40130052733333332</v>
      </c>
      <c r="CC187" s="94">
        <f>2.5+0.25</f>
        <v>2.75</v>
      </c>
      <c r="CD187" s="302"/>
      <c r="CE187" s="302"/>
      <c r="CF187" s="213" t="s">
        <v>164</v>
      </c>
      <c r="CG187" s="213">
        <v>1</v>
      </c>
      <c r="CH187" s="213">
        <v>21</v>
      </c>
      <c r="CI187" s="213">
        <v>5</v>
      </c>
      <c r="CJ187" s="27">
        <f t="shared" si="47"/>
        <v>105</v>
      </c>
      <c r="CK187" s="27">
        <f t="shared" si="48"/>
        <v>338.75</v>
      </c>
      <c r="CL187" s="27" t="s">
        <v>257</v>
      </c>
      <c r="CM187" s="27" t="s">
        <v>137</v>
      </c>
      <c r="CN187" s="238"/>
      <c r="CO187" s="238"/>
      <c r="CP187" s="14"/>
      <c r="CQ187" s="14"/>
      <c r="CR187" s="14"/>
      <c r="CS187" s="14"/>
      <c r="CT187" s="14"/>
      <c r="CU187" s="14"/>
    </row>
    <row r="188" spans="1:99" s="106" customFormat="1" ht="30" x14ac:dyDescent="0.25">
      <c r="A188" s="146">
        <v>42013</v>
      </c>
      <c r="B188" s="146"/>
      <c r="C188" s="213" t="s">
        <v>777</v>
      </c>
      <c r="D188" s="215" t="s">
        <v>54</v>
      </c>
      <c r="E188" s="214" t="s">
        <v>582</v>
      </c>
      <c r="F188" s="222" t="s">
        <v>778</v>
      </c>
      <c r="G188" s="222"/>
      <c r="H188" s="222"/>
      <c r="I188" s="222"/>
      <c r="J188" s="31" t="s">
        <v>779</v>
      </c>
      <c r="K188" s="226"/>
      <c r="L188" s="31"/>
      <c r="M188" s="31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5" t="s">
        <v>780</v>
      </c>
      <c r="AO188" s="33"/>
      <c r="AP188" s="25"/>
      <c r="AQ188" s="33"/>
      <c r="AR188" s="213" t="s">
        <v>781</v>
      </c>
      <c r="AS188" s="33"/>
      <c r="AT188" s="213"/>
      <c r="AU188" s="25"/>
      <c r="AV188" s="31"/>
      <c r="AW188" s="31"/>
      <c r="AX188" s="31"/>
      <c r="AY188" s="31"/>
      <c r="AZ188" s="31"/>
      <c r="BA188" s="31"/>
      <c r="BB188" s="31"/>
      <c r="BC188" s="31"/>
      <c r="BD188" s="224"/>
      <c r="BE188" s="31"/>
      <c r="BF188" s="31"/>
      <c r="BG188" s="31"/>
      <c r="BH188" s="31"/>
      <c r="BI188" s="31"/>
      <c r="BJ188" s="213"/>
      <c r="BK188" s="235">
        <v>114.8</v>
      </c>
      <c r="BL188" s="218" t="s">
        <v>782</v>
      </c>
      <c r="BM188" s="219">
        <v>10038568738445</v>
      </c>
      <c r="BN188" s="38"/>
      <c r="BO188" s="93">
        <v>12.85</v>
      </c>
      <c r="BP188" s="93">
        <v>8</v>
      </c>
      <c r="BQ188" s="38"/>
      <c r="BR188" s="38"/>
      <c r="BS188" s="38"/>
      <c r="BT188" s="519" t="s">
        <v>356</v>
      </c>
      <c r="BU188" s="519"/>
      <c r="BV188" s="519"/>
      <c r="BW188" s="519"/>
      <c r="BX188" s="519"/>
      <c r="BY188" s="221">
        <f>13.25+(0.153*2)</f>
        <v>13.555999999999999</v>
      </c>
      <c r="BZ188" s="221">
        <f>13.25+(0.153*2)</f>
        <v>13.555999999999999</v>
      </c>
      <c r="CA188" s="221">
        <f>8.75+(0.153*4)</f>
        <v>9.3620000000000001</v>
      </c>
      <c r="CB188" s="92">
        <f t="shared" si="46"/>
        <v>0.99560717779629615</v>
      </c>
      <c r="CC188" s="94">
        <f>2.8+0.25</f>
        <v>3.05</v>
      </c>
      <c r="CD188" s="302"/>
      <c r="CE188" s="302"/>
      <c r="CF188" s="213" t="s">
        <v>164</v>
      </c>
      <c r="CG188" s="213">
        <v>1</v>
      </c>
      <c r="CH188" s="213">
        <v>9</v>
      </c>
      <c r="CI188" s="213">
        <v>5</v>
      </c>
      <c r="CJ188" s="27">
        <f t="shared" si="47"/>
        <v>45</v>
      </c>
      <c r="CK188" s="27">
        <f t="shared" si="48"/>
        <v>187.25</v>
      </c>
      <c r="CL188" s="213" t="s">
        <v>257</v>
      </c>
      <c r="CM188" s="27" t="s">
        <v>137</v>
      </c>
      <c r="CN188" s="238"/>
      <c r="CO188" s="238"/>
      <c r="CP188" s="14"/>
      <c r="CQ188" s="14"/>
      <c r="CR188" s="14"/>
      <c r="CS188" s="14"/>
      <c r="CT188" s="14"/>
      <c r="CU188" s="14"/>
    </row>
    <row r="189" spans="1:99" s="106" customFormat="1" ht="30" x14ac:dyDescent="0.25">
      <c r="A189" s="146">
        <v>42013</v>
      </c>
      <c r="B189" s="146"/>
      <c r="C189" s="213" t="s">
        <v>783</v>
      </c>
      <c r="D189" s="215" t="s">
        <v>54</v>
      </c>
      <c r="E189" s="214" t="s">
        <v>582</v>
      </c>
      <c r="F189" s="222" t="s">
        <v>784</v>
      </c>
      <c r="G189" s="222"/>
      <c r="H189" s="222"/>
      <c r="I189" s="222"/>
      <c r="J189" s="31" t="s">
        <v>351</v>
      </c>
      <c r="K189" s="31" t="s">
        <v>785</v>
      </c>
      <c r="L189" s="31"/>
      <c r="M189" s="31"/>
      <c r="N189" s="237"/>
      <c r="O189" s="237"/>
      <c r="P189" s="237"/>
      <c r="Q189" s="237"/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  <c r="AB189" s="237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237"/>
      <c r="AM189" s="237"/>
      <c r="AN189" s="25" t="s">
        <v>786</v>
      </c>
      <c r="AO189" s="33"/>
      <c r="AP189" s="25"/>
      <c r="AQ189" s="33"/>
      <c r="AR189" s="25" t="s">
        <v>787</v>
      </c>
      <c r="AS189" s="33"/>
      <c r="AT189" s="25" t="s">
        <v>788</v>
      </c>
      <c r="AU189" s="25"/>
      <c r="AV189" s="31"/>
      <c r="AW189" s="31"/>
      <c r="AX189" s="31"/>
      <c r="AY189" s="31"/>
      <c r="AZ189" s="31"/>
      <c r="BA189" s="31"/>
      <c r="BB189" s="31"/>
      <c r="BC189" s="31"/>
      <c r="BD189" s="224"/>
      <c r="BE189" s="31"/>
      <c r="BF189" s="31"/>
      <c r="BG189" s="31"/>
      <c r="BH189" s="31"/>
      <c r="BI189" s="31"/>
      <c r="BJ189" s="25" t="s">
        <v>789</v>
      </c>
      <c r="BK189" s="235">
        <v>118.22</v>
      </c>
      <c r="BL189" s="218" t="s">
        <v>790</v>
      </c>
      <c r="BM189" s="219">
        <v>10038568738414</v>
      </c>
      <c r="BN189" s="93">
        <v>12.87</v>
      </c>
      <c r="BO189" s="93">
        <v>4.87</v>
      </c>
      <c r="BP189" s="93">
        <v>11.14</v>
      </c>
      <c r="BQ189" s="38"/>
      <c r="BR189" s="38"/>
      <c r="BS189" s="38"/>
      <c r="BT189" s="519" t="s">
        <v>356</v>
      </c>
      <c r="BU189" s="519"/>
      <c r="BV189" s="519"/>
      <c r="BW189" s="519"/>
      <c r="BX189" s="519"/>
      <c r="BY189" s="221">
        <f>13.25+(0.153*2)</f>
        <v>13.555999999999999</v>
      </c>
      <c r="BZ189" s="221">
        <f>6+(0.153*2)</f>
        <v>6.306</v>
      </c>
      <c r="CA189" s="221">
        <f>11.25+(0.153*4)</f>
        <v>11.862</v>
      </c>
      <c r="CB189" s="92">
        <f t="shared" si="46"/>
        <v>0.58681297524999998</v>
      </c>
      <c r="CC189" s="94">
        <f>2.5+0.25</f>
        <v>2.75</v>
      </c>
      <c r="CD189" s="302"/>
      <c r="CE189" s="302"/>
      <c r="CF189" s="213" t="s">
        <v>164</v>
      </c>
      <c r="CG189" s="213">
        <v>1</v>
      </c>
      <c r="CH189" s="213">
        <v>18</v>
      </c>
      <c r="CI189" s="213">
        <v>3</v>
      </c>
      <c r="CJ189" s="27">
        <f t="shared" si="47"/>
        <v>54</v>
      </c>
      <c r="CK189" s="27">
        <f t="shared" si="48"/>
        <v>198.5</v>
      </c>
      <c r="CL189" s="213" t="s">
        <v>257</v>
      </c>
      <c r="CM189" s="27" t="s">
        <v>137</v>
      </c>
      <c r="CN189" s="238"/>
      <c r="CO189" s="238"/>
      <c r="CP189" s="14"/>
      <c r="CQ189" s="14"/>
      <c r="CR189" s="14"/>
      <c r="CS189" s="14"/>
      <c r="CT189" s="14"/>
      <c r="CU189" s="14"/>
    </row>
    <row r="190" spans="1:99" s="106" customFormat="1" ht="30" x14ac:dyDescent="0.25">
      <c r="A190" s="146">
        <v>42013</v>
      </c>
      <c r="B190" s="146"/>
      <c r="C190" s="213" t="s">
        <v>791</v>
      </c>
      <c r="D190" s="215" t="s">
        <v>54</v>
      </c>
      <c r="E190" s="214" t="s">
        <v>582</v>
      </c>
      <c r="F190" s="222" t="s">
        <v>792</v>
      </c>
      <c r="G190" s="222"/>
      <c r="H190" s="222"/>
      <c r="I190" s="222"/>
      <c r="J190" s="31" t="s">
        <v>351</v>
      </c>
      <c r="K190" s="226" t="s">
        <v>793</v>
      </c>
      <c r="L190" s="31"/>
      <c r="M190" s="31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5" t="s">
        <v>794</v>
      </c>
      <c r="AO190" s="33"/>
      <c r="AP190" s="25"/>
      <c r="AQ190" s="33"/>
      <c r="AR190" s="25" t="s">
        <v>795</v>
      </c>
      <c r="AS190" s="33"/>
      <c r="AT190" s="213"/>
      <c r="AU190" s="25"/>
      <c r="AV190" s="31"/>
      <c r="AW190" s="31"/>
      <c r="AX190" s="31"/>
      <c r="AY190" s="31"/>
      <c r="AZ190" s="31"/>
      <c r="BA190" s="31"/>
      <c r="BB190" s="31"/>
      <c r="BC190" s="31"/>
      <c r="BD190" s="224"/>
      <c r="BE190" s="31"/>
      <c r="BF190" s="31"/>
      <c r="BG190" s="31"/>
      <c r="BH190" s="31"/>
      <c r="BI190" s="31"/>
      <c r="BJ190" s="25" t="s">
        <v>796</v>
      </c>
      <c r="BK190" s="235">
        <v>59.46</v>
      </c>
      <c r="BL190" s="218" t="s">
        <v>797</v>
      </c>
      <c r="BM190" s="219">
        <v>10038568738551</v>
      </c>
      <c r="BN190" s="38"/>
      <c r="BO190" s="38"/>
      <c r="BP190" s="38"/>
      <c r="BQ190" s="93">
        <v>5.94</v>
      </c>
      <c r="BR190" s="93">
        <v>13.03</v>
      </c>
      <c r="BS190" s="38"/>
      <c r="BT190" s="519" t="s">
        <v>356</v>
      </c>
      <c r="BU190" s="519"/>
      <c r="BV190" s="519"/>
      <c r="BW190" s="519"/>
      <c r="BX190" s="519"/>
      <c r="BY190" s="221">
        <f>7+(0.153*2)</f>
        <v>7.306</v>
      </c>
      <c r="BZ190" s="221">
        <f>7+(0.153*2)</f>
        <v>7.306</v>
      </c>
      <c r="CA190" s="221">
        <f>14.5+(0.153*4)</f>
        <v>15.112</v>
      </c>
      <c r="CB190" s="92">
        <f t="shared" si="46"/>
        <v>0.46680719631481477</v>
      </c>
      <c r="CC190" s="94">
        <f>1.3+0.25</f>
        <v>1.55</v>
      </c>
      <c r="CD190" s="302"/>
      <c r="CE190" s="302"/>
      <c r="CF190" s="213" t="s">
        <v>164</v>
      </c>
      <c r="CG190" s="213">
        <v>1</v>
      </c>
      <c r="CH190" s="213">
        <v>30</v>
      </c>
      <c r="CI190" s="213">
        <v>3</v>
      </c>
      <c r="CJ190" s="27">
        <f t="shared" si="47"/>
        <v>90</v>
      </c>
      <c r="CK190" s="27">
        <f t="shared" si="48"/>
        <v>189.5</v>
      </c>
      <c r="CL190" s="213" t="s">
        <v>257</v>
      </c>
      <c r="CM190" s="27" t="s">
        <v>137</v>
      </c>
      <c r="CN190" s="238"/>
      <c r="CO190" s="238"/>
      <c r="CP190" s="14"/>
      <c r="CQ190" s="14"/>
      <c r="CR190" s="14"/>
      <c r="CS190" s="14"/>
      <c r="CT190" s="14"/>
      <c r="CU190" s="14"/>
    </row>
    <row r="191" spans="1:99" s="106" customFormat="1" x14ac:dyDescent="0.25">
      <c r="A191" s="146">
        <v>42013</v>
      </c>
      <c r="B191" s="146"/>
      <c r="C191" s="213" t="s">
        <v>798</v>
      </c>
      <c r="D191" s="215" t="s">
        <v>54</v>
      </c>
      <c r="E191" s="214" t="s">
        <v>582</v>
      </c>
      <c r="F191" s="222" t="s">
        <v>799</v>
      </c>
      <c r="G191" s="222"/>
      <c r="H191" s="222"/>
      <c r="I191" s="222"/>
      <c r="J191" s="31" t="s">
        <v>91</v>
      </c>
      <c r="K191" s="226" t="s">
        <v>800</v>
      </c>
      <c r="L191" s="31" t="s">
        <v>47</v>
      </c>
      <c r="M191" s="31" t="s">
        <v>801</v>
      </c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5" t="s">
        <v>802</v>
      </c>
      <c r="AO191" s="33"/>
      <c r="AP191" s="25"/>
      <c r="AQ191" s="33"/>
      <c r="AR191" s="25" t="s">
        <v>803</v>
      </c>
      <c r="AS191" s="33"/>
      <c r="AT191" s="25" t="s">
        <v>804</v>
      </c>
      <c r="AU191" s="25" t="s">
        <v>805</v>
      </c>
      <c r="AV191" s="31"/>
      <c r="AW191" s="31"/>
      <c r="AX191" s="31"/>
      <c r="AY191" s="31"/>
      <c r="AZ191" s="31"/>
      <c r="BA191" s="31"/>
      <c r="BB191" s="31"/>
      <c r="BC191" s="31"/>
      <c r="BD191" s="224"/>
      <c r="BE191" s="31"/>
      <c r="BF191" s="31"/>
      <c r="BG191" s="31"/>
      <c r="BH191" s="31"/>
      <c r="BI191" s="31"/>
      <c r="BJ191" s="25" t="s">
        <v>806</v>
      </c>
      <c r="BK191" s="235">
        <v>131.29</v>
      </c>
      <c r="BL191" s="218" t="s">
        <v>807</v>
      </c>
      <c r="BM191" s="219">
        <v>10038568738568</v>
      </c>
      <c r="BN191" s="93">
        <v>13.05</v>
      </c>
      <c r="BO191" s="93">
        <v>8.75</v>
      </c>
      <c r="BP191" s="93" t="s">
        <v>808</v>
      </c>
      <c r="BQ191" s="38"/>
      <c r="BR191" s="38"/>
      <c r="BS191" s="38"/>
      <c r="BT191" s="519" t="s">
        <v>356</v>
      </c>
      <c r="BU191" s="519"/>
      <c r="BV191" s="519"/>
      <c r="BW191" s="519"/>
      <c r="BX191" s="519"/>
      <c r="BY191" s="221">
        <f>12.75+(0.153*2)</f>
        <v>13.055999999999999</v>
      </c>
      <c r="BZ191" s="221">
        <f>8.5+(0.153*2)</f>
        <v>8.8059999999999992</v>
      </c>
      <c r="CA191" s="221">
        <f>9.5+(0.153*4)</f>
        <v>10.112</v>
      </c>
      <c r="CB191" s="92">
        <f t="shared" si="46"/>
        <v>0.67279405511111101</v>
      </c>
      <c r="CC191" s="94">
        <f>1.3+0.25</f>
        <v>1.55</v>
      </c>
      <c r="CD191" s="302"/>
      <c r="CE191" s="302"/>
      <c r="CF191" s="213" t="s">
        <v>164</v>
      </c>
      <c r="CG191" s="213">
        <v>1</v>
      </c>
      <c r="CH191" s="213">
        <v>15</v>
      </c>
      <c r="CI191" s="213">
        <v>4</v>
      </c>
      <c r="CJ191" s="27">
        <f t="shared" si="47"/>
        <v>60</v>
      </c>
      <c r="CK191" s="27">
        <f t="shared" si="48"/>
        <v>143</v>
      </c>
      <c r="CL191" s="213" t="s">
        <v>257</v>
      </c>
      <c r="CM191" s="27" t="s">
        <v>137</v>
      </c>
      <c r="CN191" s="238"/>
      <c r="CO191" s="238"/>
      <c r="CP191" s="14"/>
      <c r="CQ191" s="14"/>
      <c r="CR191" s="14"/>
      <c r="CS191" s="14"/>
      <c r="CT191" s="14"/>
      <c r="CU191" s="14"/>
    </row>
    <row r="192" spans="1:99" s="106" customFormat="1" ht="30" x14ac:dyDescent="0.25">
      <c r="A192" s="146">
        <v>42013</v>
      </c>
      <c r="B192" s="146"/>
      <c r="C192" s="213" t="s">
        <v>809</v>
      </c>
      <c r="D192" s="215" t="s">
        <v>54</v>
      </c>
      <c r="E192" s="214" t="s">
        <v>582</v>
      </c>
      <c r="F192" s="222" t="s">
        <v>810</v>
      </c>
      <c r="G192" s="222"/>
      <c r="H192" s="222"/>
      <c r="I192" s="222"/>
      <c r="J192" s="31" t="s">
        <v>351</v>
      </c>
      <c r="K192" s="226" t="s">
        <v>811</v>
      </c>
      <c r="L192" s="31"/>
      <c r="M192" s="31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5" t="s">
        <v>812</v>
      </c>
      <c r="AO192" s="33"/>
      <c r="AP192" s="25"/>
      <c r="AQ192" s="33"/>
      <c r="AR192" s="25" t="s">
        <v>813</v>
      </c>
      <c r="AS192" s="33"/>
      <c r="AT192" s="25"/>
      <c r="AU192" s="224"/>
      <c r="AV192" s="31"/>
      <c r="AW192" s="31"/>
      <c r="AX192" s="31"/>
      <c r="AY192" s="31"/>
      <c r="AZ192" s="31"/>
      <c r="BA192" s="31"/>
      <c r="BB192" s="31"/>
      <c r="BC192" s="31"/>
      <c r="BD192" s="224"/>
      <c r="BE192" s="31"/>
      <c r="BF192" s="31"/>
      <c r="BG192" s="31"/>
      <c r="BH192" s="31"/>
      <c r="BI192" s="31"/>
      <c r="BJ192" s="25" t="s">
        <v>814</v>
      </c>
      <c r="BK192" s="235">
        <v>128.28</v>
      </c>
      <c r="BL192" s="218" t="s">
        <v>815</v>
      </c>
      <c r="BM192" s="219">
        <v>10038568739794</v>
      </c>
      <c r="BN192" s="93">
        <v>10.33</v>
      </c>
      <c r="BO192" s="93">
        <v>10.33</v>
      </c>
      <c r="BP192" s="93">
        <v>9.16</v>
      </c>
      <c r="BQ192" s="38"/>
      <c r="BR192" s="38"/>
      <c r="BS192" s="38"/>
      <c r="BT192" s="519" t="s">
        <v>356</v>
      </c>
      <c r="BU192" s="519"/>
      <c r="BV192" s="519"/>
      <c r="BW192" s="519"/>
      <c r="BX192" s="519"/>
      <c r="BY192" s="221">
        <f>6.5+(0.153*2)</f>
        <v>6.806</v>
      </c>
      <c r="BZ192" s="221">
        <f>6.5+(0.153*2)</f>
        <v>6.806</v>
      </c>
      <c r="CA192" s="221">
        <f>5.5+(0.153*4)</f>
        <v>6.1120000000000001</v>
      </c>
      <c r="CB192" s="92">
        <f t="shared" si="46"/>
        <v>0.16384134214814813</v>
      </c>
      <c r="CC192" s="94">
        <f>3+0.25</f>
        <v>3.25</v>
      </c>
      <c r="CD192" s="302"/>
      <c r="CE192" s="302"/>
      <c r="CF192" s="213" t="s">
        <v>164</v>
      </c>
      <c r="CG192" s="213">
        <v>1</v>
      </c>
      <c r="CH192" s="213">
        <v>12</v>
      </c>
      <c r="CI192" s="213">
        <v>4</v>
      </c>
      <c r="CJ192" s="27">
        <f t="shared" si="47"/>
        <v>48</v>
      </c>
      <c r="CK192" s="27">
        <f t="shared" si="48"/>
        <v>206</v>
      </c>
      <c r="CL192" s="213" t="s">
        <v>257</v>
      </c>
      <c r="CM192" s="27" t="s">
        <v>137</v>
      </c>
      <c r="CN192" s="238"/>
      <c r="CO192" s="238"/>
      <c r="CP192" s="14"/>
      <c r="CQ192" s="14"/>
      <c r="CR192" s="14"/>
      <c r="CS192" s="14"/>
      <c r="CT192" s="14"/>
      <c r="CU192" s="14"/>
    </row>
    <row r="193" spans="1:99" s="106" customFormat="1" x14ac:dyDescent="0.25">
      <c r="A193" s="146">
        <v>42013</v>
      </c>
      <c r="B193" s="146"/>
      <c r="C193" s="213" t="s">
        <v>816</v>
      </c>
      <c r="D193" s="215" t="s">
        <v>54</v>
      </c>
      <c r="E193" s="214" t="s">
        <v>582</v>
      </c>
      <c r="F193" s="215" t="s">
        <v>817</v>
      </c>
      <c r="G193" s="215"/>
      <c r="H193" s="215"/>
      <c r="I193" s="215"/>
      <c r="J193" s="31" t="s">
        <v>818</v>
      </c>
      <c r="K193" s="226" t="s">
        <v>819</v>
      </c>
      <c r="L193" s="31" t="s">
        <v>731</v>
      </c>
      <c r="M193" s="31" t="s">
        <v>820</v>
      </c>
      <c r="N193" s="237"/>
      <c r="O193" s="237"/>
      <c r="P193" s="237"/>
      <c r="Q193" s="237"/>
      <c r="R193" s="237"/>
      <c r="S193" s="237"/>
      <c r="T193" s="237"/>
      <c r="U193" s="237"/>
      <c r="V193" s="237"/>
      <c r="W193" s="237"/>
      <c r="X193" s="237"/>
      <c r="Y193" s="237"/>
      <c r="Z193" s="237"/>
      <c r="AA193" s="237"/>
      <c r="AB193" s="237"/>
      <c r="AC193" s="237"/>
      <c r="AD193" s="237"/>
      <c r="AE193" s="237"/>
      <c r="AF193" s="237"/>
      <c r="AG193" s="237"/>
      <c r="AH193" s="237"/>
      <c r="AI193" s="237"/>
      <c r="AJ193" s="237"/>
      <c r="AK193" s="237"/>
      <c r="AL193" s="237"/>
      <c r="AM193" s="237"/>
      <c r="AN193" s="25" t="s">
        <v>821</v>
      </c>
      <c r="AO193" s="33"/>
      <c r="AP193" s="25"/>
      <c r="AQ193" s="33"/>
      <c r="AR193" s="25"/>
      <c r="AS193" s="33"/>
      <c r="AT193" s="25" t="s">
        <v>822</v>
      </c>
      <c r="AU193" s="213" t="s">
        <v>823</v>
      </c>
      <c r="AV193" s="31"/>
      <c r="AW193" s="31"/>
      <c r="AX193" s="31"/>
      <c r="AY193" s="31"/>
      <c r="AZ193" s="31"/>
      <c r="BA193" s="31"/>
      <c r="BB193" s="31"/>
      <c r="BC193" s="31"/>
      <c r="BD193" s="224"/>
      <c r="BE193" s="31"/>
      <c r="BF193" s="31"/>
      <c r="BG193" s="31"/>
      <c r="BH193" s="31"/>
      <c r="BI193" s="31"/>
      <c r="BJ193" s="213">
        <v>24469</v>
      </c>
      <c r="BK193" s="235">
        <v>45.79</v>
      </c>
      <c r="BL193" s="218" t="s">
        <v>824</v>
      </c>
      <c r="BM193" s="219">
        <v>10038568742138</v>
      </c>
      <c r="BN193" s="93">
        <v>8.86</v>
      </c>
      <c r="BO193" s="93">
        <v>6.5350000000000001</v>
      </c>
      <c r="BP193" s="93">
        <v>1.988</v>
      </c>
      <c r="BQ193" s="38"/>
      <c r="BR193" s="38"/>
      <c r="BS193" s="38"/>
      <c r="BT193" s="94">
        <f>8.86</f>
        <v>8.86</v>
      </c>
      <c r="BU193" s="94">
        <f>6.54</f>
        <v>6.54</v>
      </c>
      <c r="BV193" s="94">
        <f>1.99</f>
        <v>1.99</v>
      </c>
      <c r="BW193" s="92">
        <f t="shared" ref="BW193" si="52">(BV193*BU193*BT193)/1728</f>
        <v>6.6729951388888889E-2</v>
      </c>
      <c r="BX193" s="94">
        <f>1.2+0.1</f>
        <v>1.3</v>
      </c>
      <c r="BY193" s="94">
        <f>10+(0.153*2)</f>
        <v>10.305999999999999</v>
      </c>
      <c r="BZ193" s="94">
        <f>7.5+(0.153*2)</f>
        <v>7.806</v>
      </c>
      <c r="CA193" s="94">
        <f>6.62+(0.153*4)</f>
        <v>7.2320000000000002</v>
      </c>
      <c r="CB193" s="92">
        <f t="shared" si="46"/>
        <v>0.3366924395555555</v>
      </c>
      <c r="CC193" s="94">
        <f>(BX193*3)+0.25</f>
        <v>4.1500000000000004</v>
      </c>
      <c r="CD193" s="302"/>
      <c r="CE193" s="302"/>
      <c r="CF193" s="212" t="s">
        <v>164</v>
      </c>
      <c r="CG193" s="212">
        <v>3</v>
      </c>
      <c r="CH193" s="212">
        <v>22</v>
      </c>
      <c r="CI193" s="212">
        <v>6</v>
      </c>
      <c r="CJ193" s="27">
        <f t="shared" si="47"/>
        <v>396</v>
      </c>
      <c r="CK193" s="27">
        <f>(CC193*CH193*CI193)+50</f>
        <v>597.80000000000007</v>
      </c>
      <c r="CL193" s="212" t="s">
        <v>140</v>
      </c>
      <c r="CM193" s="27" t="s">
        <v>137</v>
      </c>
      <c r="CN193" s="238"/>
      <c r="CO193" s="238"/>
      <c r="CP193" s="14"/>
      <c r="CQ193" s="14"/>
      <c r="CR193" s="14"/>
      <c r="CS193" s="14"/>
      <c r="CT193" s="14"/>
      <c r="CU193" s="14"/>
    </row>
    <row r="194" spans="1:99" s="106" customFormat="1" ht="30" x14ac:dyDescent="0.25">
      <c r="A194" s="146">
        <v>41983</v>
      </c>
      <c r="B194" s="146"/>
      <c r="C194" s="213" t="s">
        <v>825</v>
      </c>
      <c r="D194" s="215" t="s">
        <v>54</v>
      </c>
      <c r="E194" s="214" t="s">
        <v>496</v>
      </c>
      <c r="F194" s="239" t="s">
        <v>826</v>
      </c>
      <c r="G194" s="239"/>
      <c r="H194" s="239"/>
      <c r="I194" s="239"/>
      <c r="J194" s="31" t="s">
        <v>827</v>
      </c>
      <c r="K194" s="226" t="s">
        <v>828</v>
      </c>
      <c r="L194" s="31" t="s">
        <v>827</v>
      </c>
      <c r="M194" s="31" t="s">
        <v>829</v>
      </c>
      <c r="N194" s="25"/>
      <c r="O194" s="26"/>
      <c r="P194" s="26"/>
      <c r="Q194" s="2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5"/>
      <c r="AO194" s="33"/>
      <c r="AP194" s="25"/>
      <c r="AQ194" s="33"/>
      <c r="AR194" s="25"/>
      <c r="AS194" s="33"/>
      <c r="AT194" s="25"/>
      <c r="AU194" s="25"/>
      <c r="AV194" s="31"/>
      <c r="AW194" s="31"/>
      <c r="AX194" s="31"/>
      <c r="AY194" s="31"/>
      <c r="AZ194" s="31"/>
      <c r="BA194" s="31"/>
      <c r="BB194" s="31"/>
      <c r="BC194" s="31"/>
      <c r="BD194" s="224"/>
      <c r="BE194" s="31"/>
      <c r="BF194" s="31"/>
      <c r="BG194" s="31"/>
      <c r="BH194" s="31"/>
      <c r="BI194" s="31"/>
      <c r="BJ194" s="25"/>
      <c r="BK194" s="235">
        <v>9.8699999999999992</v>
      </c>
      <c r="BL194" s="218" t="s">
        <v>830</v>
      </c>
      <c r="BM194" s="219">
        <v>10038568738223</v>
      </c>
      <c r="BN194" s="36"/>
      <c r="BO194" s="36"/>
      <c r="BP194" s="36"/>
      <c r="BQ194" s="93">
        <v>2.9820000000000002</v>
      </c>
      <c r="BR194" s="93">
        <v>3.9359999999999999</v>
      </c>
      <c r="BS194" s="93">
        <v>2.39</v>
      </c>
      <c r="BT194" s="522" t="s">
        <v>831</v>
      </c>
      <c r="BU194" s="523"/>
      <c r="BV194" s="523"/>
      <c r="BW194" s="523"/>
      <c r="BX194" s="221">
        <f>0.84+0.1</f>
        <v>0.94</v>
      </c>
      <c r="BY194" s="221">
        <f>10.5+(0.125*2)</f>
        <v>10.75</v>
      </c>
      <c r="BZ194" s="221">
        <f>7+(0.125*2)</f>
        <v>7.25</v>
      </c>
      <c r="CA194" s="221">
        <f>4.12+(0.125*4)</f>
        <v>4.62</v>
      </c>
      <c r="CB194" s="92">
        <f t="shared" si="46"/>
        <v>0.2083745659722222</v>
      </c>
      <c r="CC194" s="94">
        <f>(BX194*6)+0.25</f>
        <v>5.89</v>
      </c>
      <c r="CD194" s="302"/>
      <c r="CE194" s="302"/>
      <c r="CF194" s="213" t="s">
        <v>164</v>
      </c>
      <c r="CG194" s="213">
        <v>6</v>
      </c>
      <c r="CH194" s="213">
        <v>22</v>
      </c>
      <c r="CI194" s="213">
        <v>9</v>
      </c>
      <c r="CJ194" s="27">
        <f t="shared" si="47"/>
        <v>1188</v>
      </c>
      <c r="CK194" s="27">
        <f t="shared" ref="CK194:CK199" si="53">(CC194*CH194*CI194)+50</f>
        <v>1216.2199999999998</v>
      </c>
      <c r="CL194" s="213" t="s">
        <v>257</v>
      </c>
      <c r="CM194" s="27" t="s">
        <v>137</v>
      </c>
      <c r="CN194" s="238"/>
      <c r="CO194" s="238"/>
      <c r="CP194" s="14"/>
      <c r="CQ194" s="14"/>
      <c r="CR194" s="14"/>
      <c r="CS194" s="14"/>
      <c r="CT194" s="14"/>
      <c r="CU194" s="14"/>
    </row>
    <row r="195" spans="1:99" s="106" customFormat="1" ht="30" x14ac:dyDescent="0.25">
      <c r="A195" s="146">
        <v>41957</v>
      </c>
      <c r="B195" s="146"/>
      <c r="C195" s="214" t="s">
        <v>832</v>
      </c>
      <c r="D195" s="215" t="s">
        <v>54</v>
      </c>
      <c r="E195" s="214" t="s">
        <v>833</v>
      </c>
      <c r="F195" s="236" t="s">
        <v>834</v>
      </c>
      <c r="G195" s="236"/>
      <c r="H195" s="236"/>
      <c r="I195" s="236"/>
      <c r="J195" s="31" t="s">
        <v>835</v>
      </c>
      <c r="K195" s="226" t="s">
        <v>836</v>
      </c>
      <c r="L195" s="31" t="s">
        <v>837</v>
      </c>
      <c r="M195" s="31">
        <v>9210280007</v>
      </c>
      <c r="N195" s="25" t="s">
        <v>838</v>
      </c>
      <c r="O195" s="26" t="s">
        <v>839</v>
      </c>
      <c r="P195" s="26" t="s">
        <v>157</v>
      </c>
      <c r="Q195" s="26">
        <v>76086226</v>
      </c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5" t="s">
        <v>840</v>
      </c>
      <c r="AO195" s="33"/>
      <c r="AP195" s="25"/>
      <c r="AQ195" s="33"/>
      <c r="AR195" s="25" t="s">
        <v>841</v>
      </c>
      <c r="AS195" s="33"/>
      <c r="AT195" s="25" t="s">
        <v>842</v>
      </c>
      <c r="AU195" s="25"/>
      <c r="AV195" s="31"/>
      <c r="AW195" s="31"/>
      <c r="AX195" s="31"/>
      <c r="AY195" s="31"/>
      <c r="AZ195" s="31"/>
      <c r="BA195" s="31"/>
      <c r="BB195" s="31"/>
      <c r="BC195" s="31"/>
      <c r="BD195" s="224"/>
      <c r="BE195" s="31"/>
      <c r="BF195" s="31"/>
      <c r="BG195" s="31"/>
      <c r="BH195" s="31"/>
      <c r="BI195" s="31"/>
      <c r="BJ195" s="25" t="s">
        <v>843</v>
      </c>
      <c r="BK195" s="32">
        <v>99.85</v>
      </c>
      <c r="BL195" s="218" t="s">
        <v>844</v>
      </c>
      <c r="BM195" s="219">
        <v>10038568737981</v>
      </c>
      <c r="BN195" s="36"/>
      <c r="BO195" s="36"/>
      <c r="BP195" s="36"/>
      <c r="BQ195" s="92">
        <v>3.75</v>
      </c>
      <c r="BR195" s="92">
        <v>7.21</v>
      </c>
      <c r="BS195" s="38"/>
      <c r="BT195" s="221">
        <f>4.1875+(0.0625*2)</f>
        <v>4.3125</v>
      </c>
      <c r="BU195" s="221">
        <f>4.1875+(0.0625*2)</f>
        <v>4.3125</v>
      </c>
      <c r="BV195" s="221">
        <f>7.625+(0.0625*4)</f>
        <v>7.875</v>
      </c>
      <c r="BW195" s="92">
        <f t="shared" ref="BW195:BW198" si="54">(BV195*BU195*BT195)/1728</f>
        <v>8.475494384765625E-2</v>
      </c>
      <c r="BX195" s="221">
        <f>2.35+0.1</f>
        <v>2.4500000000000002</v>
      </c>
      <c r="BY195" s="94">
        <f>13.375+(0.125*2)</f>
        <v>13.625</v>
      </c>
      <c r="BZ195" s="94">
        <f>8.9475+(0.125*2)</f>
        <v>9.1974999999999998</v>
      </c>
      <c r="CA195" s="94">
        <f>8.125+(0.125*4)</f>
        <v>8.625</v>
      </c>
      <c r="CB195" s="92">
        <f t="shared" si="46"/>
        <v>0.6254918755425346</v>
      </c>
      <c r="CC195" s="94">
        <f>(BX195*6)+0.25</f>
        <v>14.950000000000001</v>
      </c>
      <c r="CD195" s="302"/>
      <c r="CE195" s="302"/>
      <c r="CF195" s="213" t="s">
        <v>164</v>
      </c>
      <c r="CG195" s="213">
        <v>6</v>
      </c>
      <c r="CH195" s="213">
        <v>13</v>
      </c>
      <c r="CI195" s="213">
        <v>5</v>
      </c>
      <c r="CJ195" s="27">
        <f t="shared" si="47"/>
        <v>390</v>
      </c>
      <c r="CK195" s="27">
        <f t="shared" si="53"/>
        <v>1021.7500000000001</v>
      </c>
      <c r="CL195" s="27" t="s">
        <v>257</v>
      </c>
      <c r="CM195" s="27" t="s">
        <v>137</v>
      </c>
      <c r="CN195" s="238"/>
      <c r="CO195" s="238"/>
      <c r="CP195" s="14"/>
      <c r="CQ195" s="14"/>
      <c r="CR195" s="14"/>
      <c r="CS195" s="14"/>
      <c r="CT195" s="14"/>
      <c r="CU195" s="14"/>
    </row>
    <row r="196" spans="1:99" s="106" customFormat="1" x14ac:dyDescent="0.25">
      <c r="A196" s="240">
        <v>41927</v>
      </c>
      <c r="B196" s="240"/>
      <c r="C196" s="214" t="s">
        <v>845</v>
      </c>
      <c r="D196" s="214" t="s">
        <v>54</v>
      </c>
      <c r="E196" s="214" t="s">
        <v>487</v>
      </c>
      <c r="F196" s="236" t="s">
        <v>846</v>
      </c>
      <c r="G196" s="236"/>
      <c r="H196" s="236"/>
      <c r="I196" s="236"/>
      <c r="J196" s="31" t="s">
        <v>847</v>
      </c>
      <c r="K196" s="226" t="s">
        <v>848</v>
      </c>
      <c r="L196" s="31" t="s">
        <v>849</v>
      </c>
      <c r="M196" s="31" t="s">
        <v>850</v>
      </c>
      <c r="N196" s="25" t="s">
        <v>851</v>
      </c>
      <c r="O196" s="26">
        <v>12065155020</v>
      </c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16"/>
      <c r="AJ196" s="216"/>
      <c r="AK196" s="216"/>
      <c r="AL196" s="216"/>
      <c r="AM196" s="216"/>
      <c r="AN196" s="25"/>
      <c r="AO196" s="33"/>
      <c r="AP196" s="25"/>
      <c r="AQ196" s="33"/>
      <c r="AR196" s="25"/>
      <c r="AS196" s="33"/>
      <c r="AT196" s="25" t="s">
        <v>852</v>
      </c>
      <c r="AU196" s="25" t="s">
        <v>853</v>
      </c>
      <c r="AV196" s="31"/>
      <c r="AW196" s="31"/>
      <c r="AX196" s="31"/>
      <c r="AY196" s="31"/>
      <c r="AZ196" s="31"/>
      <c r="BA196" s="31" t="s">
        <v>854</v>
      </c>
      <c r="BB196" s="31"/>
      <c r="BC196" s="31"/>
      <c r="BD196" s="224"/>
      <c r="BE196" s="31"/>
      <c r="BF196" s="31"/>
      <c r="BG196" s="31"/>
      <c r="BH196" s="31"/>
      <c r="BI196" s="31"/>
      <c r="BJ196" s="25"/>
      <c r="BK196" s="32">
        <v>66</v>
      </c>
      <c r="BL196" s="218" t="s">
        <v>855</v>
      </c>
      <c r="BM196" s="219">
        <v>10038568738506</v>
      </c>
      <c r="BN196" s="36"/>
      <c r="BO196" s="36"/>
      <c r="BP196" s="36"/>
      <c r="BQ196" s="241">
        <v>4.2300000000000004</v>
      </c>
      <c r="BR196" s="241">
        <v>5.8</v>
      </c>
      <c r="BS196" s="38"/>
      <c r="BT196" s="92">
        <f>4.25+(0.018*2)</f>
        <v>4.2859999999999996</v>
      </c>
      <c r="BU196" s="92">
        <f>4.25+(0.018*2)</f>
        <v>4.2859999999999996</v>
      </c>
      <c r="BV196" s="92">
        <f>6+(0.018*4)</f>
        <v>6.0720000000000001</v>
      </c>
      <c r="BW196" s="92">
        <f t="shared" si="54"/>
        <v>6.4549422055555541E-2</v>
      </c>
      <c r="BX196" s="92">
        <f>1.7+0.1</f>
        <v>1.8</v>
      </c>
      <c r="BY196" s="221">
        <f>18+(0.153*2)</f>
        <v>18.306000000000001</v>
      </c>
      <c r="BZ196" s="221">
        <f>13.5+(0.153*2)</f>
        <v>13.805999999999999</v>
      </c>
      <c r="CA196" s="221">
        <f>6.25+(0.153*4)</f>
        <v>6.8620000000000001</v>
      </c>
      <c r="CB196" s="92">
        <f t="shared" si="46"/>
        <v>1.0036176783749999</v>
      </c>
      <c r="CC196" s="94">
        <f>(BX196*6)+0.25</f>
        <v>11.05</v>
      </c>
      <c r="CD196" s="302"/>
      <c r="CE196" s="302"/>
      <c r="CF196" s="213" t="s">
        <v>135</v>
      </c>
      <c r="CG196" s="213">
        <v>12</v>
      </c>
      <c r="CH196" s="213">
        <v>6</v>
      </c>
      <c r="CI196" s="213">
        <v>6</v>
      </c>
      <c r="CJ196" s="27">
        <f t="shared" si="47"/>
        <v>432</v>
      </c>
      <c r="CK196" s="27">
        <f t="shared" si="53"/>
        <v>447.80000000000007</v>
      </c>
      <c r="CL196" s="213" t="s">
        <v>257</v>
      </c>
      <c r="CM196" s="27" t="s">
        <v>137</v>
      </c>
      <c r="CN196" s="238"/>
      <c r="CO196" s="238"/>
      <c r="CP196" s="14"/>
      <c r="CQ196" s="14"/>
      <c r="CR196" s="14"/>
      <c r="CS196" s="14"/>
      <c r="CT196" s="14"/>
      <c r="CU196" s="14"/>
    </row>
    <row r="197" spans="1:99" s="106" customFormat="1" x14ac:dyDescent="0.25">
      <c r="A197" s="240">
        <v>41913</v>
      </c>
      <c r="B197" s="240"/>
      <c r="C197" s="214" t="s">
        <v>856</v>
      </c>
      <c r="D197" s="214" t="s">
        <v>54</v>
      </c>
      <c r="E197" s="214" t="s">
        <v>439</v>
      </c>
      <c r="F197" s="25" t="s">
        <v>857</v>
      </c>
      <c r="G197" s="25"/>
      <c r="H197" s="25"/>
      <c r="I197" s="25"/>
      <c r="J197" s="31" t="s">
        <v>731</v>
      </c>
      <c r="K197" s="226" t="s">
        <v>858</v>
      </c>
      <c r="L197" s="31"/>
      <c r="M197" s="31"/>
      <c r="N197" s="25"/>
      <c r="O197" s="2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16"/>
      <c r="AJ197" s="216"/>
      <c r="AK197" s="216"/>
      <c r="AL197" s="216"/>
      <c r="AM197" s="216"/>
      <c r="AN197" s="25" t="s">
        <v>859</v>
      </c>
      <c r="AO197" s="33"/>
      <c r="AP197" s="25"/>
      <c r="AQ197" s="33"/>
      <c r="AR197" s="25" t="s">
        <v>860</v>
      </c>
      <c r="AS197" s="33"/>
      <c r="AT197" s="25"/>
      <c r="AU197" s="25"/>
      <c r="AV197" s="31"/>
      <c r="AW197" s="31"/>
      <c r="AX197" s="31"/>
      <c r="AY197" s="31"/>
      <c r="AZ197" s="31"/>
      <c r="BA197" s="31"/>
      <c r="BB197" s="31"/>
      <c r="BC197" s="31"/>
      <c r="BD197" s="224"/>
      <c r="BE197" s="31"/>
      <c r="BF197" s="31"/>
      <c r="BG197" s="31"/>
      <c r="BH197" s="31"/>
      <c r="BI197" s="31"/>
      <c r="BJ197" s="25" t="s">
        <v>861</v>
      </c>
      <c r="BK197" s="32">
        <v>19.29</v>
      </c>
      <c r="BL197" s="172" t="s">
        <v>862</v>
      </c>
      <c r="BM197" s="173">
        <v>10038568737615</v>
      </c>
      <c r="BN197" s="93">
        <v>7.87</v>
      </c>
      <c r="BO197" s="93">
        <v>8.0299999999999994</v>
      </c>
      <c r="BP197" s="93">
        <v>0.79</v>
      </c>
      <c r="BQ197" s="38"/>
      <c r="BR197" s="38"/>
      <c r="BS197" s="38"/>
      <c r="BT197" s="92">
        <f>8.07+(0.02*2)</f>
        <v>8.11</v>
      </c>
      <c r="BU197" s="92">
        <f>0.98+(0.02*2)</f>
        <v>1.02</v>
      </c>
      <c r="BV197" s="92">
        <f>8.27+(0.02*4)</f>
        <v>8.35</v>
      </c>
      <c r="BW197" s="92">
        <f t="shared" si="54"/>
        <v>3.997272569444444E-2</v>
      </c>
      <c r="BX197" s="92">
        <f>0.33+0.1</f>
        <v>0.43000000000000005</v>
      </c>
      <c r="BY197" s="221">
        <f>8.66+(0.125*2)</f>
        <v>8.91</v>
      </c>
      <c r="BZ197" s="221">
        <f>8.46+(0.125*2)</f>
        <v>8.7100000000000009</v>
      </c>
      <c r="CA197" s="221">
        <f>6.5+(0.125*4)</f>
        <v>7</v>
      </c>
      <c r="CB197" s="92">
        <f t="shared" si="46"/>
        <v>0.31437656250000001</v>
      </c>
      <c r="CC197" s="94">
        <f>(BX197*6)+0.25</f>
        <v>2.83</v>
      </c>
      <c r="CD197" s="302"/>
      <c r="CE197" s="302"/>
      <c r="CF197" s="213" t="s">
        <v>135</v>
      </c>
      <c r="CG197" s="213">
        <v>6</v>
      </c>
      <c r="CH197" s="213">
        <v>20</v>
      </c>
      <c r="CI197" s="213">
        <v>7</v>
      </c>
      <c r="CJ197" s="27">
        <f t="shared" si="47"/>
        <v>840</v>
      </c>
      <c r="CK197" s="27">
        <f t="shared" si="53"/>
        <v>446.2</v>
      </c>
      <c r="CL197" s="213" t="s">
        <v>140</v>
      </c>
      <c r="CM197" s="27" t="s">
        <v>137</v>
      </c>
      <c r="CN197" s="238"/>
      <c r="CO197" s="238"/>
      <c r="CP197" s="14"/>
      <c r="CQ197" s="14"/>
      <c r="CR197" s="14"/>
      <c r="CS197" s="14"/>
      <c r="CT197" s="14"/>
      <c r="CU197" s="14"/>
    </row>
    <row r="198" spans="1:99" s="106" customFormat="1" ht="30" x14ac:dyDescent="0.25">
      <c r="A198" s="240">
        <v>41913</v>
      </c>
      <c r="B198" s="240"/>
      <c r="C198" s="214" t="s">
        <v>863</v>
      </c>
      <c r="D198" s="214" t="s">
        <v>54</v>
      </c>
      <c r="E198" s="214" t="s">
        <v>439</v>
      </c>
      <c r="F198" s="26" t="s">
        <v>864</v>
      </c>
      <c r="G198" s="26"/>
      <c r="H198" s="26"/>
      <c r="I198" s="26"/>
      <c r="J198" s="31" t="s">
        <v>722</v>
      </c>
      <c r="K198" s="226" t="s">
        <v>865</v>
      </c>
      <c r="L198" s="31"/>
      <c r="M198" s="31"/>
      <c r="N198" s="25"/>
      <c r="O198" s="2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  <c r="AC198" s="216"/>
      <c r="AD198" s="216"/>
      <c r="AE198" s="216"/>
      <c r="AF198" s="216"/>
      <c r="AG198" s="216"/>
      <c r="AH198" s="216"/>
      <c r="AI198" s="216"/>
      <c r="AJ198" s="216"/>
      <c r="AK198" s="216"/>
      <c r="AL198" s="216"/>
      <c r="AM198" s="216"/>
      <c r="AN198" s="25" t="s">
        <v>866</v>
      </c>
      <c r="AO198" s="33"/>
      <c r="AP198" s="25"/>
      <c r="AQ198" s="33"/>
      <c r="AR198" s="25" t="s">
        <v>867</v>
      </c>
      <c r="AS198" s="33"/>
      <c r="AT198" s="25" t="s">
        <v>868</v>
      </c>
      <c r="AU198" s="25"/>
      <c r="AV198" s="31"/>
      <c r="AW198" s="31"/>
      <c r="AX198" s="31"/>
      <c r="AY198" s="31"/>
      <c r="AZ198" s="31"/>
      <c r="BA198" s="31"/>
      <c r="BB198" s="31"/>
      <c r="BC198" s="31"/>
      <c r="BD198" s="224"/>
      <c r="BE198" s="31"/>
      <c r="BF198" s="31"/>
      <c r="BG198" s="31"/>
      <c r="BH198" s="31"/>
      <c r="BI198" s="31"/>
      <c r="BJ198" s="25">
        <v>49980</v>
      </c>
      <c r="BK198" s="32">
        <v>50.91</v>
      </c>
      <c r="BL198" s="233" t="s">
        <v>869</v>
      </c>
      <c r="BM198" s="242">
        <v>10038568737851</v>
      </c>
      <c r="BN198" s="93">
        <v>19.84</v>
      </c>
      <c r="BO198" s="93">
        <v>2.34</v>
      </c>
      <c r="BP198" s="93">
        <v>11.26</v>
      </c>
      <c r="BQ198" s="38"/>
      <c r="BR198" s="38"/>
      <c r="BS198" s="38"/>
      <c r="BT198" s="92">
        <f>19.92+(0.02*2)</f>
        <v>19.96</v>
      </c>
      <c r="BU198" s="92">
        <f>11.42+(0.02*2)</f>
        <v>11.459999999999999</v>
      </c>
      <c r="BV198" s="92">
        <f>2.36+(0.02*4)</f>
        <v>2.44</v>
      </c>
      <c r="BW198" s="92">
        <f t="shared" si="54"/>
        <v>0.32299161111111113</v>
      </c>
      <c r="BX198" s="92">
        <f>1.4+0.1</f>
        <v>1.5</v>
      </c>
      <c r="BY198" s="221">
        <f>20.31+(0.125*2)</f>
        <v>20.56</v>
      </c>
      <c r="BZ198" s="221">
        <f>11.81+(0.125*2)</f>
        <v>12.06</v>
      </c>
      <c r="CA198" s="221">
        <f>14.76+(0.125*4)</f>
        <v>15.26</v>
      </c>
      <c r="CB198" s="92">
        <f t="shared" si="46"/>
        <v>2.1896828333333334</v>
      </c>
      <c r="CC198" s="94">
        <f>(BX198*6)+0.25</f>
        <v>9.25</v>
      </c>
      <c r="CD198" s="302"/>
      <c r="CE198" s="302"/>
      <c r="CF198" s="213" t="s">
        <v>135</v>
      </c>
      <c r="CG198" s="213">
        <v>6</v>
      </c>
      <c r="CH198" s="213">
        <v>6</v>
      </c>
      <c r="CI198" s="213">
        <v>3</v>
      </c>
      <c r="CJ198" s="27">
        <f t="shared" si="47"/>
        <v>108</v>
      </c>
      <c r="CK198" s="27">
        <f t="shared" si="53"/>
        <v>216.5</v>
      </c>
      <c r="CL198" s="213" t="s">
        <v>140</v>
      </c>
      <c r="CM198" s="27" t="s">
        <v>137</v>
      </c>
      <c r="CN198" s="238"/>
      <c r="CO198" s="238"/>
      <c r="CP198" s="14"/>
      <c r="CQ198" s="14"/>
      <c r="CR198" s="14"/>
      <c r="CS198" s="14"/>
      <c r="CT198" s="14"/>
      <c r="CU198" s="14"/>
    </row>
    <row r="199" spans="1:99" s="106" customFormat="1" x14ac:dyDescent="0.25">
      <c r="A199" s="240">
        <v>41897</v>
      </c>
      <c r="B199" s="240"/>
      <c r="C199" s="214" t="s">
        <v>870</v>
      </c>
      <c r="D199" s="214" t="s">
        <v>54</v>
      </c>
      <c r="E199" s="214" t="s">
        <v>59</v>
      </c>
      <c r="F199" s="180" t="s">
        <v>871</v>
      </c>
      <c r="G199" s="180"/>
      <c r="H199" s="180"/>
      <c r="I199" s="180"/>
      <c r="J199" s="31" t="s">
        <v>872</v>
      </c>
      <c r="K199" s="226" t="s">
        <v>873</v>
      </c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/>
      <c r="X199" s="237"/>
      <c r="Y199" s="237"/>
      <c r="Z199" s="237"/>
      <c r="AA199" s="237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43"/>
      <c r="AO199" s="243"/>
      <c r="AP199" s="243"/>
      <c r="AQ199" s="243"/>
      <c r="AR199" s="243"/>
      <c r="AS199" s="243"/>
      <c r="AT199" s="243"/>
      <c r="AU199" s="243"/>
      <c r="AV199" s="243"/>
      <c r="AW199" s="243"/>
      <c r="AX199" s="243"/>
      <c r="AY199" s="243"/>
      <c r="AZ199" s="243"/>
      <c r="BA199" s="243"/>
      <c r="BB199" s="243"/>
      <c r="BC199" s="243"/>
      <c r="BD199" s="243"/>
      <c r="BE199" s="243"/>
      <c r="BF199" s="243"/>
      <c r="BG199" s="243"/>
      <c r="BH199" s="243"/>
      <c r="BI199" s="243"/>
      <c r="BJ199" s="243"/>
      <c r="BK199" s="32">
        <v>19.98</v>
      </c>
      <c r="BL199" s="244" t="s">
        <v>874</v>
      </c>
      <c r="BM199" s="244" t="s">
        <v>875</v>
      </c>
      <c r="BN199" s="36"/>
      <c r="BO199" s="36"/>
      <c r="BP199" s="36"/>
      <c r="BQ199" s="92">
        <v>3.65</v>
      </c>
      <c r="BR199" s="92">
        <v>6.48</v>
      </c>
      <c r="BS199" s="36"/>
      <c r="BT199" s="521" t="s">
        <v>876</v>
      </c>
      <c r="BU199" s="521"/>
      <c r="BV199" s="521"/>
      <c r="BW199" s="521"/>
      <c r="BX199" s="521"/>
      <c r="BY199" s="221">
        <v>15.81</v>
      </c>
      <c r="BZ199" s="221">
        <v>11.93</v>
      </c>
      <c r="CA199" s="221">
        <v>7.5</v>
      </c>
      <c r="CB199" s="92">
        <f t="shared" si="46"/>
        <v>0.81863411458333324</v>
      </c>
      <c r="CC199" s="221">
        <f>1.5*12+0.4</f>
        <v>18.399999999999999</v>
      </c>
      <c r="CD199" s="303"/>
      <c r="CE199" s="303"/>
      <c r="CF199" s="213" t="s">
        <v>135</v>
      </c>
      <c r="CG199" s="213">
        <v>12</v>
      </c>
      <c r="CH199" s="213">
        <v>10</v>
      </c>
      <c r="CI199" s="213">
        <v>6</v>
      </c>
      <c r="CJ199" s="27">
        <f t="shared" si="47"/>
        <v>720</v>
      </c>
      <c r="CK199" s="27">
        <f t="shared" si="53"/>
        <v>1154</v>
      </c>
      <c r="CL199" s="213" t="s">
        <v>257</v>
      </c>
      <c r="CM199" s="27" t="s">
        <v>137</v>
      </c>
      <c r="CN199" s="238"/>
      <c r="CO199" s="238"/>
      <c r="CP199" s="14"/>
      <c r="CQ199" s="14"/>
      <c r="CR199" s="14"/>
      <c r="CS199" s="14"/>
      <c r="CT199" s="14"/>
      <c r="CU199" s="14"/>
    </row>
    <row r="200" spans="1:99" s="106" customFormat="1" x14ac:dyDescent="0.25">
      <c r="A200" s="240">
        <v>41883</v>
      </c>
      <c r="B200" s="240"/>
      <c r="C200" s="214" t="s">
        <v>71</v>
      </c>
      <c r="D200" s="214" t="s">
        <v>54</v>
      </c>
      <c r="E200" s="214" t="s">
        <v>877</v>
      </c>
      <c r="F200" s="180" t="s">
        <v>878</v>
      </c>
      <c r="G200" s="180"/>
      <c r="H200" s="180"/>
      <c r="I200" s="180"/>
      <c r="J200" s="31" t="s">
        <v>879</v>
      </c>
      <c r="K200" s="31" t="s">
        <v>880</v>
      </c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  <c r="AK200" s="237"/>
      <c r="AL200" s="237"/>
      <c r="AM200" s="237"/>
      <c r="AN200" s="243"/>
      <c r="AO200" s="243"/>
      <c r="AP200" s="243"/>
      <c r="AQ200" s="243"/>
      <c r="AR200" s="25" t="s">
        <v>881</v>
      </c>
      <c r="AS200" s="33"/>
      <c r="AT200" s="25"/>
      <c r="AU200" s="25"/>
      <c r="AV200" s="31"/>
      <c r="AW200" s="31"/>
      <c r="AX200" s="31"/>
      <c r="AY200" s="31"/>
      <c r="AZ200" s="31"/>
      <c r="BA200" s="31"/>
      <c r="BB200" s="31"/>
      <c r="BC200" s="31"/>
      <c r="BD200" s="224"/>
      <c r="BE200" s="31"/>
      <c r="BF200" s="31"/>
      <c r="BG200" s="31"/>
      <c r="BH200" s="31"/>
      <c r="BI200" s="31"/>
      <c r="BJ200" s="25"/>
      <c r="BK200" s="32">
        <v>27.65</v>
      </c>
      <c r="BL200" s="244" t="s">
        <v>882</v>
      </c>
      <c r="BM200" s="244" t="s">
        <v>883</v>
      </c>
      <c r="BN200" s="36"/>
      <c r="BO200" s="36"/>
      <c r="BP200" s="36"/>
      <c r="BQ200" s="215">
        <v>4.66</v>
      </c>
      <c r="BR200" s="215">
        <v>10.6</v>
      </c>
      <c r="BS200" s="36"/>
      <c r="BT200" s="520" t="s">
        <v>356</v>
      </c>
      <c r="BU200" s="520"/>
      <c r="BV200" s="520"/>
      <c r="BW200" s="520"/>
      <c r="BX200" s="520"/>
      <c r="BY200" s="94">
        <v>11.125</v>
      </c>
      <c r="BZ200" s="94">
        <v>5.5</v>
      </c>
      <c r="CA200" s="94">
        <v>5.5</v>
      </c>
      <c r="CB200" s="92">
        <f>(CA200*BZ200*BY200)/1728</f>
        <v>0.19475188078703703</v>
      </c>
      <c r="CC200" s="213">
        <f>0.55+0.25</f>
        <v>0.8</v>
      </c>
      <c r="CD200" s="304"/>
      <c r="CE200" s="304"/>
      <c r="CF200" s="213" t="s">
        <v>135</v>
      </c>
      <c r="CG200" s="213">
        <v>1</v>
      </c>
      <c r="CH200" s="213">
        <v>48</v>
      </c>
      <c r="CI200" s="213">
        <v>4</v>
      </c>
      <c r="CJ200" s="27">
        <f>CG200*CH200*CI200</f>
        <v>192</v>
      </c>
      <c r="CK200" s="27">
        <f>(CC200*CH200*CI200)+50</f>
        <v>203.60000000000002</v>
      </c>
      <c r="CL200" s="27" t="s">
        <v>257</v>
      </c>
      <c r="CM200" s="27" t="s">
        <v>137</v>
      </c>
      <c r="CN200" s="238"/>
      <c r="CO200" s="238"/>
      <c r="CP200" s="14"/>
      <c r="CQ200" s="14"/>
      <c r="CR200" s="14"/>
      <c r="CS200" s="14"/>
      <c r="CT200" s="14"/>
      <c r="CU200" s="14"/>
    </row>
    <row r="201" spans="1:99" s="106" customFormat="1" x14ac:dyDescent="0.25">
      <c r="A201" s="240">
        <v>41883</v>
      </c>
      <c r="B201" s="240"/>
      <c r="C201" s="214" t="s">
        <v>884</v>
      </c>
      <c r="D201" s="214" t="s">
        <v>54</v>
      </c>
      <c r="E201" s="214" t="s">
        <v>877</v>
      </c>
      <c r="F201" s="176" t="s">
        <v>885</v>
      </c>
      <c r="G201" s="176"/>
      <c r="H201" s="176"/>
      <c r="I201" s="176"/>
      <c r="J201" s="224" t="s">
        <v>227</v>
      </c>
      <c r="K201" s="31" t="s">
        <v>886</v>
      </c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  <c r="X201" s="237"/>
      <c r="Y201" s="237"/>
      <c r="Z201" s="237"/>
      <c r="AA201" s="237"/>
      <c r="AB201" s="237"/>
      <c r="AC201" s="237"/>
      <c r="AD201" s="237"/>
      <c r="AE201" s="237"/>
      <c r="AF201" s="237"/>
      <c r="AG201" s="237"/>
      <c r="AH201" s="237"/>
      <c r="AI201" s="237"/>
      <c r="AJ201" s="237"/>
      <c r="AK201" s="237"/>
      <c r="AL201" s="237"/>
      <c r="AM201" s="237"/>
      <c r="AN201" s="243"/>
      <c r="AO201" s="243"/>
      <c r="AP201" s="243"/>
      <c r="AQ201" s="243"/>
      <c r="AR201" s="25"/>
      <c r="AS201" s="33"/>
      <c r="AT201" s="25"/>
      <c r="AU201" s="25"/>
      <c r="AV201" s="31"/>
      <c r="AW201" s="31"/>
      <c r="AX201" s="31"/>
      <c r="AY201" s="31"/>
      <c r="AZ201" s="31"/>
      <c r="BA201" s="31"/>
      <c r="BB201" s="31"/>
      <c r="BC201" s="31"/>
      <c r="BD201" s="224"/>
      <c r="BE201" s="31"/>
      <c r="BF201" s="31"/>
      <c r="BG201" s="31"/>
      <c r="BH201" s="31"/>
      <c r="BI201" s="31"/>
      <c r="BJ201" s="25"/>
      <c r="BK201" s="32">
        <v>40.32</v>
      </c>
      <c r="BL201" s="244" t="s">
        <v>887</v>
      </c>
      <c r="BM201" s="244" t="s">
        <v>888</v>
      </c>
      <c r="BN201" s="36"/>
      <c r="BO201" s="36"/>
      <c r="BP201" s="36"/>
      <c r="BQ201" s="93">
        <v>4.13</v>
      </c>
      <c r="BR201" s="93">
        <v>10.75</v>
      </c>
      <c r="BS201" s="36"/>
      <c r="BT201" s="520" t="s">
        <v>356</v>
      </c>
      <c r="BU201" s="520"/>
      <c r="BV201" s="520"/>
      <c r="BW201" s="520"/>
      <c r="BX201" s="520"/>
      <c r="BY201" s="94">
        <v>4.4939999999999998</v>
      </c>
      <c r="BZ201" s="94">
        <v>4.4939999999999998</v>
      </c>
      <c r="CA201" s="94">
        <v>11.612</v>
      </c>
      <c r="CB201" s="92">
        <f>(CA201*BZ201*BY201)/1728</f>
        <v>0.13571549191666665</v>
      </c>
      <c r="CC201" s="212">
        <v>3.1</v>
      </c>
      <c r="CD201" s="212"/>
      <c r="CE201" s="212"/>
      <c r="CF201" s="105" t="s">
        <v>135</v>
      </c>
      <c r="CG201" s="27">
        <v>1</v>
      </c>
      <c r="CH201" s="27">
        <v>90</v>
      </c>
      <c r="CI201" s="27">
        <v>3</v>
      </c>
      <c r="CJ201" s="27">
        <f>CG201*CH201*CI201</f>
        <v>270</v>
      </c>
      <c r="CK201" s="27">
        <f>(CC201*CH201*CI201)+50</f>
        <v>887</v>
      </c>
      <c r="CL201" s="27" t="s">
        <v>257</v>
      </c>
      <c r="CM201" s="27" t="s">
        <v>137</v>
      </c>
      <c r="CN201" s="238"/>
      <c r="CO201" s="238"/>
      <c r="CP201" s="14"/>
      <c r="CQ201" s="14"/>
      <c r="CR201" s="14"/>
      <c r="CS201" s="14"/>
      <c r="CT201" s="14"/>
      <c r="CU201" s="14"/>
    </row>
    <row r="202" spans="1:99" s="106" customFormat="1" x14ac:dyDescent="0.25">
      <c r="A202" s="240">
        <v>41883</v>
      </c>
      <c r="B202" s="240"/>
      <c r="C202" s="214" t="s">
        <v>889</v>
      </c>
      <c r="D202" s="214" t="s">
        <v>54</v>
      </c>
      <c r="E202" s="214" t="s">
        <v>59</v>
      </c>
      <c r="F202" s="180" t="s">
        <v>890</v>
      </c>
      <c r="G202" s="180"/>
      <c r="H202" s="180"/>
      <c r="I202" s="180"/>
      <c r="J202" s="224" t="s">
        <v>227</v>
      </c>
      <c r="K202" s="31">
        <v>3619554</v>
      </c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  <c r="AL202" s="237"/>
      <c r="AM202" s="237"/>
      <c r="AN202" s="243"/>
      <c r="AO202" s="243"/>
      <c r="AP202" s="243"/>
      <c r="AQ202" s="243"/>
      <c r="AR202" s="25"/>
      <c r="AS202" s="33"/>
      <c r="AT202" s="25"/>
      <c r="AU202" s="25"/>
      <c r="AV202" s="31"/>
      <c r="AW202" s="31"/>
      <c r="AX202" s="31"/>
      <c r="AY202" s="31"/>
      <c r="AZ202" s="31"/>
      <c r="BA202" s="31"/>
      <c r="BB202" s="31"/>
      <c r="BC202" s="31"/>
      <c r="BD202" s="224"/>
      <c r="BE202" s="31"/>
      <c r="BF202" s="31"/>
      <c r="BG202" s="31"/>
      <c r="BH202" s="31"/>
      <c r="BI202" s="31"/>
      <c r="BJ202" s="25"/>
      <c r="BK202" s="32">
        <v>34.68</v>
      </c>
      <c r="BL202" s="244" t="s">
        <v>891</v>
      </c>
      <c r="BM202" s="244" t="s">
        <v>892</v>
      </c>
      <c r="BN202" s="36"/>
      <c r="BO202" s="36"/>
      <c r="BP202" s="36"/>
      <c r="BQ202" s="215">
        <v>3.46</v>
      </c>
      <c r="BR202" s="215">
        <v>6.04</v>
      </c>
      <c r="BS202" s="36"/>
      <c r="BT202" s="521" t="s">
        <v>876</v>
      </c>
      <c r="BU202" s="521"/>
      <c r="BV202" s="521"/>
      <c r="BW202" s="521"/>
      <c r="BX202" s="521"/>
      <c r="BY202" s="221">
        <v>10.555999999999999</v>
      </c>
      <c r="BZ202" s="221">
        <v>7.181</v>
      </c>
      <c r="CA202" s="221">
        <v>8.8620000000000001</v>
      </c>
      <c r="CB202" s="92">
        <f>(CA202*BZ202*BY202)/1728</f>
        <v>0.38875171309722217</v>
      </c>
      <c r="CC202" s="213">
        <v>6.4</v>
      </c>
      <c r="CD202" s="304"/>
      <c r="CE202" s="304"/>
      <c r="CF202" s="105" t="s">
        <v>135</v>
      </c>
      <c r="CG202" s="213">
        <v>6</v>
      </c>
      <c r="CH202" s="213">
        <v>20</v>
      </c>
      <c r="CI202" s="213">
        <v>5</v>
      </c>
      <c r="CJ202" s="27">
        <f>CG202*CH202*CI202</f>
        <v>600</v>
      </c>
      <c r="CK202" s="27">
        <f>(CC202*CH202*CI202)+50</f>
        <v>690</v>
      </c>
      <c r="CL202" s="27" t="s">
        <v>257</v>
      </c>
      <c r="CM202" s="27" t="s">
        <v>137</v>
      </c>
      <c r="CN202" s="238"/>
      <c r="CO202" s="238"/>
      <c r="CP202" s="14"/>
      <c r="CQ202" s="14"/>
      <c r="CR202" s="14"/>
      <c r="CS202" s="14"/>
      <c r="CT202" s="14"/>
      <c r="CU202" s="14"/>
    </row>
    <row r="203" spans="1:99" s="106" customFormat="1" x14ac:dyDescent="0.25">
      <c r="A203" s="240">
        <v>41866</v>
      </c>
      <c r="B203" s="240"/>
      <c r="C203" s="214" t="s">
        <v>893</v>
      </c>
      <c r="D203" s="214" t="s">
        <v>54</v>
      </c>
      <c r="E203" s="214" t="s">
        <v>59</v>
      </c>
      <c r="F203" s="176" t="s">
        <v>894</v>
      </c>
      <c r="G203" s="176"/>
      <c r="H203" s="176"/>
      <c r="I203" s="176"/>
      <c r="J203" s="31" t="s">
        <v>895</v>
      </c>
      <c r="K203" s="31">
        <v>2864993</v>
      </c>
      <c r="L203" s="31"/>
      <c r="M203" s="31"/>
      <c r="N203" s="25"/>
      <c r="O203" s="26"/>
      <c r="P203" s="216"/>
      <c r="Q203" s="216"/>
      <c r="R203" s="216"/>
      <c r="S203" s="216"/>
      <c r="T203" s="237"/>
      <c r="U203" s="237"/>
      <c r="V203" s="237"/>
      <c r="W203" s="237"/>
      <c r="X203" s="237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7"/>
      <c r="AI203" s="237"/>
      <c r="AJ203" s="237"/>
      <c r="AK203" s="237"/>
      <c r="AL203" s="237"/>
      <c r="AM203" s="237"/>
      <c r="AN203" s="25" t="s">
        <v>896</v>
      </c>
      <c r="AO203" s="33"/>
      <c r="AP203" s="25"/>
      <c r="AQ203" s="33"/>
      <c r="AR203" s="25" t="s">
        <v>897</v>
      </c>
      <c r="AS203" s="33"/>
      <c r="AT203" s="25" t="s">
        <v>898</v>
      </c>
      <c r="AU203" s="25"/>
      <c r="AV203" s="31"/>
      <c r="AW203" s="31"/>
      <c r="AX203" s="31"/>
      <c r="AY203" s="31"/>
      <c r="AZ203" s="31"/>
      <c r="BA203" s="31"/>
      <c r="BB203" s="31"/>
      <c r="BC203" s="31"/>
      <c r="BD203" s="224"/>
      <c r="BE203" s="31"/>
      <c r="BF203" s="31"/>
      <c r="BG203" s="31"/>
      <c r="BH203" s="31"/>
      <c r="BI203" s="31"/>
      <c r="BJ203" s="25"/>
      <c r="BK203" s="32">
        <v>62.99</v>
      </c>
      <c r="BL203" s="244" t="s">
        <v>899</v>
      </c>
      <c r="BM203" s="244" t="s">
        <v>900</v>
      </c>
      <c r="BN203" s="244"/>
      <c r="BO203" s="244"/>
      <c r="BP203" s="244"/>
      <c r="BQ203" s="244"/>
      <c r="BR203" s="244"/>
      <c r="BS203" s="244"/>
      <c r="BT203" s="521" t="s">
        <v>876</v>
      </c>
      <c r="BU203" s="521"/>
      <c r="BV203" s="521"/>
      <c r="BW203" s="521"/>
      <c r="BX203" s="521"/>
      <c r="BY203" s="94">
        <v>14.87</v>
      </c>
      <c r="BZ203" s="94">
        <v>10</v>
      </c>
      <c r="CA203" s="94">
        <v>10.5</v>
      </c>
      <c r="CB203" s="92">
        <f t="shared" ref="CB203:CB204" si="55">(CA203*BZ203*BY203)/1728</f>
        <v>0.90355902777777775</v>
      </c>
      <c r="CC203" s="212">
        <f>4.012+0.25</f>
        <v>4.2619999999999996</v>
      </c>
      <c r="CD203" s="212"/>
      <c r="CE203" s="212"/>
      <c r="CF203" s="105" t="s">
        <v>135</v>
      </c>
      <c r="CG203" s="27">
        <v>6</v>
      </c>
      <c r="CH203" s="27">
        <v>12</v>
      </c>
      <c r="CI203" s="27">
        <v>4</v>
      </c>
      <c r="CJ203" s="27">
        <f>CG203*CH203*CI203</f>
        <v>288</v>
      </c>
      <c r="CK203" s="27">
        <f>(CC203*CH203*CI203)+50</f>
        <v>254.57599999999996</v>
      </c>
      <c r="CL203" s="27" t="s">
        <v>257</v>
      </c>
      <c r="CM203" s="27" t="s">
        <v>137</v>
      </c>
      <c r="CN203" s="238"/>
      <c r="CO203" s="238"/>
      <c r="CP203" s="14"/>
      <c r="CQ203" s="14"/>
      <c r="CR203" s="14"/>
      <c r="CS203" s="14"/>
      <c r="CT203" s="14"/>
      <c r="CU203" s="14"/>
    </row>
    <row r="204" spans="1:99" s="106" customFormat="1" x14ac:dyDescent="0.25">
      <c r="A204" s="240">
        <v>41866</v>
      </c>
      <c r="B204" s="240"/>
      <c r="C204" s="214" t="s">
        <v>901</v>
      </c>
      <c r="D204" s="214" t="s">
        <v>54</v>
      </c>
      <c r="E204" s="214" t="s">
        <v>59</v>
      </c>
      <c r="F204" s="176" t="s">
        <v>902</v>
      </c>
      <c r="G204" s="176"/>
      <c r="H204" s="176"/>
      <c r="I204" s="176"/>
      <c r="J204" s="31" t="s">
        <v>130</v>
      </c>
      <c r="K204" s="31" t="s">
        <v>903</v>
      </c>
      <c r="L204" s="31" t="s">
        <v>904</v>
      </c>
      <c r="M204" s="31" t="s">
        <v>905</v>
      </c>
      <c r="N204" s="25"/>
      <c r="O204" s="26"/>
      <c r="P204" s="216"/>
      <c r="Q204" s="216"/>
      <c r="R204" s="216"/>
      <c r="S204" s="216"/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  <c r="AK204" s="237"/>
      <c r="AL204" s="237"/>
      <c r="AM204" s="237"/>
      <c r="AN204" s="25"/>
      <c r="AO204" s="33"/>
      <c r="AP204" s="25"/>
      <c r="AQ204" s="33"/>
      <c r="AR204" s="25"/>
      <c r="AS204" s="33"/>
      <c r="AT204" s="25"/>
      <c r="AU204" s="25"/>
      <c r="AV204" s="31"/>
      <c r="AW204" s="31"/>
      <c r="AX204" s="31"/>
      <c r="AY204" s="31"/>
      <c r="AZ204" s="31"/>
      <c r="BA204" s="31"/>
      <c r="BB204" s="31"/>
      <c r="BC204" s="31"/>
      <c r="BD204" s="224"/>
      <c r="BE204" s="31"/>
      <c r="BF204" s="31"/>
      <c r="BG204" s="31"/>
      <c r="BH204" s="31"/>
      <c r="BI204" s="31"/>
      <c r="BJ204" s="25"/>
      <c r="BK204" s="32">
        <v>174.64</v>
      </c>
      <c r="BL204" s="244" t="s">
        <v>906</v>
      </c>
      <c r="BM204" s="244" t="s">
        <v>907</v>
      </c>
      <c r="BN204" s="244"/>
      <c r="BO204" s="244"/>
      <c r="BP204" s="244"/>
      <c r="BQ204" s="244"/>
      <c r="BR204" s="244"/>
      <c r="BS204" s="244"/>
      <c r="BT204" s="520" t="s">
        <v>356</v>
      </c>
      <c r="BU204" s="520"/>
      <c r="BV204" s="520"/>
      <c r="BW204" s="520"/>
      <c r="BX204" s="520"/>
      <c r="BY204" s="94">
        <v>6.75</v>
      </c>
      <c r="BZ204" s="94">
        <v>6.25</v>
      </c>
      <c r="CA204" s="94">
        <v>12.12</v>
      </c>
      <c r="CB204" s="92">
        <f t="shared" si="55"/>
        <v>0.2958984375</v>
      </c>
      <c r="CC204" s="213">
        <v>1.65</v>
      </c>
      <c r="CD204" s="304"/>
      <c r="CE204" s="304"/>
      <c r="CF204" s="213" t="s">
        <v>135</v>
      </c>
      <c r="CG204" s="213">
        <v>1</v>
      </c>
      <c r="CH204" s="213">
        <v>42</v>
      </c>
      <c r="CI204" s="213">
        <v>3</v>
      </c>
      <c r="CJ204" s="27">
        <f t="shared" ref="CJ204" si="56">CG204*CH204*CI204</f>
        <v>126</v>
      </c>
      <c r="CK204" s="27">
        <f t="shared" ref="CK204" si="57">(CC204*CH204*CI204)+50</f>
        <v>257.89999999999998</v>
      </c>
      <c r="CL204" s="27" t="s">
        <v>317</v>
      </c>
      <c r="CM204" s="27" t="s">
        <v>137</v>
      </c>
      <c r="CN204" s="238"/>
      <c r="CO204" s="238"/>
      <c r="CP204" s="14"/>
      <c r="CQ204" s="14"/>
      <c r="CR204" s="14"/>
      <c r="CS204" s="14"/>
      <c r="CT204" s="14"/>
      <c r="CU204" s="14"/>
    </row>
    <row r="205" spans="1:99" s="106" customFormat="1" x14ac:dyDescent="0.25">
      <c r="A205" s="240">
        <v>41852</v>
      </c>
      <c r="B205" s="240"/>
      <c r="C205" s="214" t="s">
        <v>908</v>
      </c>
      <c r="D205" s="214" t="s">
        <v>54</v>
      </c>
      <c r="E205" s="245" t="s">
        <v>909</v>
      </c>
      <c r="F205" s="176" t="s">
        <v>910</v>
      </c>
      <c r="G205" s="176"/>
      <c r="H205" s="176"/>
      <c r="I205" s="176"/>
      <c r="J205" s="31" t="s">
        <v>351</v>
      </c>
      <c r="K205" s="31" t="s">
        <v>911</v>
      </c>
      <c r="L205" s="31" t="s">
        <v>351</v>
      </c>
      <c r="M205" s="31" t="s">
        <v>912</v>
      </c>
      <c r="N205" s="25"/>
      <c r="O205" s="2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5" t="s">
        <v>913</v>
      </c>
      <c r="AO205" s="33"/>
      <c r="AP205" s="25"/>
      <c r="AQ205" s="33"/>
      <c r="AR205" s="25" t="s">
        <v>914</v>
      </c>
      <c r="AS205" s="33"/>
      <c r="AT205" s="25" t="s">
        <v>915</v>
      </c>
      <c r="AU205" s="25"/>
      <c r="AV205" s="31"/>
      <c r="AW205" s="31"/>
      <c r="AX205" s="31"/>
      <c r="AY205" s="31"/>
      <c r="AZ205" s="31"/>
      <c r="BA205" s="31"/>
      <c r="BB205" s="31"/>
      <c r="BC205" s="31"/>
      <c r="BD205" s="224"/>
      <c r="BE205" s="31"/>
      <c r="BF205" s="31"/>
      <c r="BG205" s="31"/>
      <c r="BH205" s="31"/>
      <c r="BI205" s="31"/>
      <c r="BJ205" s="25">
        <v>49096</v>
      </c>
      <c r="BK205" s="32">
        <v>52.98</v>
      </c>
      <c r="BL205" s="45" t="s">
        <v>916</v>
      </c>
      <c r="BM205" s="246">
        <v>10038568738407</v>
      </c>
      <c r="BN205" s="246"/>
      <c r="BO205" s="246"/>
      <c r="BP205" s="246"/>
      <c r="BQ205" s="246"/>
      <c r="BR205" s="246"/>
      <c r="BS205" s="246"/>
      <c r="BT205" s="213" t="s">
        <v>917</v>
      </c>
      <c r="BU205" s="213" t="s">
        <v>917</v>
      </c>
      <c r="BV205" s="213" t="s">
        <v>917</v>
      </c>
      <c r="BW205" s="92" t="s">
        <v>918</v>
      </c>
      <c r="BX205" s="213" t="s">
        <v>919</v>
      </c>
      <c r="BY205" s="94">
        <v>24</v>
      </c>
      <c r="BZ205" s="94">
        <v>5.5</v>
      </c>
      <c r="CA205" s="94">
        <v>3.5</v>
      </c>
      <c r="CB205" s="92" t="s">
        <v>918</v>
      </c>
      <c r="CC205" s="213" t="s">
        <v>919</v>
      </c>
      <c r="CD205" s="304"/>
      <c r="CE205" s="304"/>
      <c r="CF205" s="105" t="s">
        <v>135</v>
      </c>
      <c r="CG205" s="27">
        <v>1</v>
      </c>
      <c r="CH205" s="27">
        <v>14</v>
      </c>
      <c r="CI205" s="27">
        <v>12</v>
      </c>
      <c r="CJ205" s="27">
        <v>168</v>
      </c>
      <c r="CK205" s="27" t="s">
        <v>920</v>
      </c>
      <c r="CL205" s="27" t="s">
        <v>921</v>
      </c>
      <c r="CM205" s="27" t="s">
        <v>137</v>
      </c>
      <c r="CN205" s="14"/>
      <c r="CO205" s="14"/>
      <c r="CP205" s="14"/>
      <c r="CQ205" s="14"/>
      <c r="CR205" s="14"/>
      <c r="CS205" s="14"/>
      <c r="CT205" s="14"/>
      <c r="CU205" s="14"/>
    </row>
    <row r="206" spans="1:99" s="106" customFormat="1" ht="30" x14ac:dyDescent="0.25">
      <c r="A206" s="240">
        <v>41852</v>
      </c>
      <c r="B206" s="240"/>
      <c r="C206" s="214" t="s">
        <v>922</v>
      </c>
      <c r="D206" s="214" t="s">
        <v>54</v>
      </c>
      <c r="E206" s="214" t="s">
        <v>833</v>
      </c>
      <c r="F206" s="176" t="s">
        <v>923</v>
      </c>
      <c r="G206" s="176"/>
      <c r="H206" s="176"/>
      <c r="I206" s="176"/>
      <c r="J206" s="31" t="s">
        <v>218</v>
      </c>
      <c r="K206" s="31" t="s">
        <v>924</v>
      </c>
      <c r="L206" s="31"/>
      <c r="M206" s="31"/>
      <c r="N206" s="25"/>
      <c r="O206" s="2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5" t="s">
        <v>925</v>
      </c>
      <c r="AO206" s="33"/>
      <c r="AP206" s="25"/>
      <c r="AQ206" s="33"/>
      <c r="AR206" s="25" t="s">
        <v>926</v>
      </c>
      <c r="AS206" s="33"/>
      <c r="AT206" s="25" t="s">
        <v>927</v>
      </c>
      <c r="AU206" s="25"/>
      <c r="AV206" s="31"/>
      <c r="AW206" s="31"/>
      <c r="AX206" s="31"/>
      <c r="AY206" s="31"/>
      <c r="AZ206" s="31"/>
      <c r="BA206" s="31"/>
      <c r="BB206" s="31"/>
      <c r="BC206" s="31"/>
      <c r="BD206" s="224"/>
      <c r="BE206" s="31"/>
      <c r="BF206" s="31"/>
      <c r="BG206" s="31"/>
      <c r="BH206" s="31"/>
      <c r="BI206" s="31"/>
      <c r="BJ206" s="25"/>
      <c r="BK206" s="32">
        <v>50.81</v>
      </c>
      <c r="BL206" s="45" t="s">
        <v>928</v>
      </c>
      <c r="BM206" s="246">
        <v>10038568738452</v>
      </c>
      <c r="BN206" s="246"/>
      <c r="BO206" s="246"/>
      <c r="BP206" s="246"/>
      <c r="BQ206" s="246"/>
      <c r="BR206" s="246"/>
      <c r="BS206" s="246"/>
      <c r="BT206" s="213" t="s">
        <v>917</v>
      </c>
      <c r="BU206" s="213" t="s">
        <v>917</v>
      </c>
      <c r="BV206" s="213" t="s">
        <v>917</v>
      </c>
      <c r="BW206" s="92" t="s">
        <v>929</v>
      </c>
      <c r="BX206" s="213" t="s">
        <v>930</v>
      </c>
      <c r="BY206" s="94">
        <v>3</v>
      </c>
      <c r="BZ206" s="94">
        <v>3</v>
      </c>
      <c r="CA206" s="94">
        <v>5.5</v>
      </c>
      <c r="CB206" s="92" t="s">
        <v>929</v>
      </c>
      <c r="CC206" s="213" t="s">
        <v>930</v>
      </c>
      <c r="CD206" s="304"/>
      <c r="CE206" s="304"/>
      <c r="CF206" s="105" t="s">
        <v>135</v>
      </c>
      <c r="CG206" s="213">
        <v>1</v>
      </c>
      <c r="CH206" s="213">
        <v>40</v>
      </c>
      <c r="CI206" s="213">
        <v>11</v>
      </c>
      <c r="CJ206" s="27">
        <v>440</v>
      </c>
      <c r="CK206" s="27" t="s">
        <v>931</v>
      </c>
      <c r="CL206" s="27" t="s">
        <v>932</v>
      </c>
      <c r="CM206" s="27" t="s">
        <v>137</v>
      </c>
      <c r="CN206" s="14"/>
      <c r="CO206" s="14"/>
      <c r="CP206" s="14"/>
      <c r="CQ206" s="14"/>
      <c r="CR206" s="14"/>
      <c r="CS206" s="14"/>
      <c r="CT206" s="14"/>
      <c r="CU206" s="14"/>
    </row>
    <row r="207" spans="1:99" s="106" customFormat="1" ht="30" x14ac:dyDescent="0.25">
      <c r="A207" s="240">
        <v>41835</v>
      </c>
      <c r="B207" s="240"/>
      <c r="C207" s="214" t="s">
        <v>933</v>
      </c>
      <c r="D207" s="214" t="s">
        <v>54</v>
      </c>
      <c r="E207" s="214" t="s">
        <v>877</v>
      </c>
      <c r="F207" s="176" t="s">
        <v>934</v>
      </c>
      <c r="G207" s="176"/>
      <c r="H207" s="176"/>
      <c r="I207" s="176"/>
      <c r="J207" s="31" t="s">
        <v>674</v>
      </c>
      <c r="K207" s="31" t="s">
        <v>935</v>
      </c>
      <c r="L207" s="31" t="s">
        <v>674</v>
      </c>
      <c r="M207" s="31" t="s">
        <v>936</v>
      </c>
      <c r="N207" s="25"/>
      <c r="O207" s="2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6"/>
      <c r="AD207" s="216"/>
      <c r="AE207" s="216"/>
      <c r="AF207" s="216"/>
      <c r="AG207" s="216"/>
      <c r="AH207" s="216"/>
      <c r="AI207" s="216"/>
      <c r="AJ207" s="216"/>
      <c r="AK207" s="216"/>
      <c r="AL207" s="216"/>
      <c r="AM207" s="216"/>
      <c r="AN207" s="25" t="s">
        <v>937</v>
      </c>
      <c r="AO207" s="33"/>
      <c r="AP207" s="25"/>
      <c r="AQ207" s="33"/>
      <c r="AR207" s="25" t="s">
        <v>938</v>
      </c>
      <c r="AS207" s="33"/>
      <c r="AT207" s="25" t="s">
        <v>939</v>
      </c>
      <c r="AU207" s="25" t="s">
        <v>940</v>
      </c>
      <c r="AV207" s="31"/>
      <c r="AW207" s="31"/>
      <c r="AX207" s="31"/>
      <c r="AY207" s="31"/>
      <c r="AZ207" s="31"/>
      <c r="BA207" s="31"/>
      <c r="BB207" s="31"/>
      <c r="BC207" s="31"/>
      <c r="BD207" s="224"/>
      <c r="BE207" s="31"/>
      <c r="BF207" s="31"/>
      <c r="BG207" s="31"/>
      <c r="BH207" s="31"/>
      <c r="BI207" s="31"/>
      <c r="BJ207" s="25" t="s">
        <v>941</v>
      </c>
      <c r="BK207" s="32">
        <v>53.25</v>
      </c>
      <c r="BL207" s="244" t="s">
        <v>942</v>
      </c>
      <c r="BM207" s="244" t="s">
        <v>943</v>
      </c>
      <c r="BN207" s="244"/>
      <c r="BO207" s="244"/>
      <c r="BP207" s="244"/>
      <c r="BQ207" s="244"/>
      <c r="BR207" s="244"/>
      <c r="BS207" s="244"/>
      <c r="BT207" s="520" t="s">
        <v>356</v>
      </c>
      <c r="BU207" s="520"/>
      <c r="BV207" s="520"/>
      <c r="BW207" s="520"/>
      <c r="BX207" s="520"/>
      <c r="BY207" s="94">
        <v>11.4</v>
      </c>
      <c r="BZ207" s="94">
        <v>10.37</v>
      </c>
      <c r="CA207" s="94">
        <v>10.62</v>
      </c>
      <c r="CB207" s="92">
        <f t="shared" ref="CB207:CB233" si="58">(CA207*BZ207*BY207)/1728</f>
        <v>0.72654812499999999</v>
      </c>
      <c r="CC207" s="94">
        <f>3.94+0.25</f>
        <v>4.1899999999999995</v>
      </c>
      <c r="CD207" s="302"/>
      <c r="CE207" s="302"/>
      <c r="CF207" s="105" t="s">
        <v>135</v>
      </c>
      <c r="CG207" s="27">
        <v>1</v>
      </c>
      <c r="CH207" s="27">
        <v>12</v>
      </c>
      <c r="CI207" s="27">
        <v>3</v>
      </c>
      <c r="CJ207" s="27">
        <f t="shared" ref="CJ207:CJ225" si="59">CG207*CH207*CI207</f>
        <v>36</v>
      </c>
      <c r="CK207" s="27">
        <f t="shared" ref="CK207:CK216" si="60">(CC207*CH207*CI207)+50</f>
        <v>200.83999999999997</v>
      </c>
      <c r="CL207" s="27" t="s">
        <v>257</v>
      </c>
      <c r="CM207" s="27" t="s">
        <v>137</v>
      </c>
      <c r="CN207" s="14"/>
      <c r="CO207" s="14"/>
      <c r="CP207" s="14"/>
      <c r="CQ207" s="14"/>
      <c r="CR207" s="14"/>
      <c r="CS207" s="14"/>
      <c r="CT207" s="14"/>
      <c r="CU207" s="14"/>
    </row>
    <row r="208" spans="1:99" s="106" customFormat="1" ht="30" x14ac:dyDescent="0.25">
      <c r="A208" s="240">
        <v>41835</v>
      </c>
      <c r="B208" s="240"/>
      <c r="C208" s="214" t="s">
        <v>944</v>
      </c>
      <c r="D208" s="214" t="s">
        <v>54</v>
      </c>
      <c r="E208" s="214" t="s">
        <v>877</v>
      </c>
      <c r="F208" s="176" t="s">
        <v>945</v>
      </c>
      <c r="G208" s="176"/>
      <c r="H208" s="176"/>
      <c r="I208" s="176"/>
      <c r="J208" s="31" t="s">
        <v>731</v>
      </c>
      <c r="K208" s="31">
        <v>6001856110</v>
      </c>
      <c r="L208" s="31"/>
      <c r="M208" s="31"/>
      <c r="N208" s="25"/>
      <c r="O208" s="2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216"/>
      <c r="AK208" s="216"/>
      <c r="AL208" s="216"/>
      <c r="AM208" s="216"/>
      <c r="AN208" s="25" t="s">
        <v>946</v>
      </c>
      <c r="AO208" s="33"/>
      <c r="AP208" s="25"/>
      <c r="AQ208" s="33"/>
      <c r="AR208" s="25" t="s">
        <v>947</v>
      </c>
      <c r="AS208" s="33"/>
      <c r="AT208" s="25" t="s">
        <v>948</v>
      </c>
      <c r="AU208" s="25" t="s">
        <v>949</v>
      </c>
      <c r="AV208" s="31"/>
      <c r="AW208" s="31"/>
      <c r="AX208" s="31"/>
      <c r="AY208" s="31"/>
      <c r="AZ208" s="31"/>
      <c r="BA208" s="31"/>
      <c r="BB208" s="31"/>
      <c r="BC208" s="31"/>
      <c r="BD208" s="224"/>
      <c r="BE208" s="31"/>
      <c r="BF208" s="31"/>
      <c r="BG208" s="31"/>
      <c r="BH208" s="31"/>
      <c r="BI208" s="31"/>
      <c r="BJ208" s="25" t="s">
        <v>950</v>
      </c>
      <c r="BK208" s="32">
        <v>105.79</v>
      </c>
      <c r="BL208" s="244" t="s">
        <v>942</v>
      </c>
      <c r="BM208" s="244" t="s">
        <v>943</v>
      </c>
      <c r="BN208" s="244"/>
      <c r="BO208" s="244"/>
      <c r="BP208" s="244"/>
      <c r="BQ208" s="244"/>
      <c r="BR208" s="244"/>
      <c r="BS208" s="244"/>
      <c r="BT208" s="520" t="s">
        <v>356</v>
      </c>
      <c r="BU208" s="520"/>
      <c r="BV208" s="520"/>
      <c r="BW208" s="520"/>
      <c r="BX208" s="520"/>
      <c r="BY208" s="94">
        <v>21.306000000000001</v>
      </c>
      <c r="BZ208" s="94">
        <v>13.366</v>
      </c>
      <c r="CA208" s="94">
        <v>13.672000000000001</v>
      </c>
      <c r="CB208" s="92">
        <f t="shared" si="58"/>
        <v>2.2531582276111113</v>
      </c>
      <c r="CC208" s="94">
        <v>8.85</v>
      </c>
      <c r="CD208" s="302"/>
      <c r="CE208" s="302"/>
      <c r="CF208" s="105" t="s">
        <v>135</v>
      </c>
      <c r="CG208" s="27">
        <v>1</v>
      </c>
      <c r="CH208" s="27">
        <v>9</v>
      </c>
      <c r="CI208" s="27">
        <v>2</v>
      </c>
      <c r="CJ208" s="27">
        <f t="shared" si="59"/>
        <v>18</v>
      </c>
      <c r="CK208" s="27">
        <f t="shared" si="60"/>
        <v>209.29999999999998</v>
      </c>
      <c r="CL208" s="27" t="s">
        <v>257</v>
      </c>
      <c r="CM208" s="27" t="s">
        <v>137</v>
      </c>
      <c r="CN208" s="14"/>
      <c r="CO208" s="14"/>
      <c r="CP208" s="14"/>
      <c r="CQ208" s="14"/>
      <c r="CR208" s="14"/>
      <c r="CS208" s="14"/>
      <c r="CT208" s="14"/>
      <c r="CU208" s="14"/>
    </row>
    <row r="209" spans="1:99" s="106" customFormat="1" x14ac:dyDescent="0.25">
      <c r="A209" s="240">
        <v>41835</v>
      </c>
      <c r="B209" s="240"/>
      <c r="C209" s="31" t="s">
        <v>951</v>
      </c>
      <c r="D209" s="212" t="s">
        <v>54</v>
      </c>
      <c r="E209" s="214" t="s">
        <v>952</v>
      </c>
      <c r="F209" s="236" t="s">
        <v>953</v>
      </c>
      <c r="G209" s="236"/>
      <c r="H209" s="236"/>
      <c r="I209" s="236"/>
      <c r="J209" s="31" t="s">
        <v>954</v>
      </c>
      <c r="K209" s="31" t="s">
        <v>955</v>
      </c>
      <c r="L209" s="31"/>
      <c r="M209" s="31"/>
      <c r="N209" s="25"/>
      <c r="O209" s="2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216"/>
      <c r="AK209" s="216"/>
      <c r="AL209" s="216"/>
      <c r="AM209" s="216"/>
      <c r="AN209" s="25" t="s">
        <v>956</v>
      </c>
      <c r="AO209" s="33"/>
      <c r="AP209" s="25"/>
      <c r="AQ209" s="33"/>
      <c r="AR209" s="25" t="s">
        <v>957</v>
      </c>
      <c r="AS209" s="33"/>
      <c r="AT209" s="25" t="s">
        <v>958</v>
      </c>
      <c r="AU209" s="176"/>
      <c r="AV209" s="31"/>
      <c r="AW209" s="31"/>
      <c r="AX209" s="31"/>
      <c r="AY209" s="31"/>
      <c r="AZ209" s="31"/>
      <c r="BA209" s="31"/>
      <c r="BB209" s="31"/>
      <c r="BC209" s="31"/>
      <c r="BD209" s="224"/>
      <c r="BE209" s="31"/>
      <c r="BF209" s="31"/>
      <c r="BG209" s="31"/>
      <c r="BH209" s="31"/>
      <c r="BI209" s="31"/>
      <c r="BJ209" s="25" t="s">
        <v>959</v>
      </c>
      <c r="BK209" s="32">
        <v>54.11</v>
      </c>
      <c r="BL209" s="244" t="s">
        <v>960</v>
      </c>
      <c r="BM209" s="244" t="s">
        <v>961</v>
      </c>
      <c r="BN209" s="244"/>
      <c r="BO209" s="244"/>
      <c r="BP209" s="244"/>
      <c r="BQ209" s="244"/>
      <c r="BR209" s="244"/>
      <c r="BS209" s="244"/>
      <c r="BT209" s="520" t="s">
        <v>356</v>
      </c>
      <c r="BU209" s="520"/>
      <c r="BV209" s="520"/>
      <c r="BW209" s="520"/>
      <c r="BX209" s="520"/>
      <c r="BY209" s="94">
        <v>2.625</v>
      </c>
      <c r="BZ209" s="94">
        <v>2.625</v>
      </c>
      <c r="CA209" s="94">
        <v>10.875</v>
      </c>
      <c r="CB209" s="92">
        <f t="shared" si="58"/>
        <v>4.3365478515625E-2</v>
      </c>
      <c r="CC209" s="94">
        <f>0.3+0.25</f>
        <v>0.55000000000000004</v>
      </c>
      <c r="CD209" s="302"/>
      <c r="CE209" s="302"/>
      <c r="CF209" s="105" t="s">
        <v>135</v>
      </c>
      <c r="CG209" s="27">
        <v>1</v>
      </c>
      <c r="CH209" s="27">
        <v>40</v>
      </c>
      <c r="CI209" s="27">
        <v>18</v>
      </c>
      <c r="CJ209" s="27">
        <f t="shared" si="59"/>
        <v>720</v>
      </c>
      <c r="CK209" s="27">
        <f t="shared" si="60"/>
        <v>446</v>
      </c>
      <c r="CL209" s="27" t="s">
        <v>531</v>
      </c>
      <c r="CM209" s="27" t="s">
        <v>137</v>
      </c>
      <c r="CN209" s="14"/>
      <c r="CO209" s="14"/>
      <c r="CP209" s="14"/>
      <c r="CQ209" s="14"/>
      <c r="CR209" s="14"/>
      <c r="CS209" s="14"/>
      <c r="CT209" s="14"/>
      <c r="CU209" s="14"/>
    </row>
    <row r="210" spans="1:99" s="106" customFormat="1" ht="30" x14ac:dyDescent="0.25">
      <c r="A210" s="240">
        <v>41835</v>
      </c>
      <c r="B210" s="240"/>
      <c r="C210" s="247" t="s">
        <v>962</v>
      </c>
      <c r="D210" s="212" t="s">
        <v>54</v>
      </c>
      <c r="E210" s="214" t="s">
        <v>72</v>
      </c>
      <c r="F210" s="236" t="s">
        <v>963</v>
      </c>
      <c r="G210" s="236"/>
      <c r="H210" s="236"/>
      <c r="I210" s="236"/>
      <c r="J210" s="31" t="s">
        <v>351</v>
      </c>
      <c r="K210" s="31" t="s">
        <v>964</v>
      </c>
      <c r="L210" s="31"/>
      <c r="M210" s="31"/>
      <c r="N210" s="25"/>
      <c r="O210" s="2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216"/>
      <c r="AK210" s="216"/>
      <c r="AL210" s="216"/>
      <c r="AM210" s="216"/>
      <c r="AN210" s="25" t="s">
        <v>965</v>
      </c>
      <c r="AO210" s="33"/>
      <c r="AP210" s="25"/>
      <c r="AQ210" s="33"/>
      <c r="AR210" s="25" t="s">
        <v>966</v>
      </c>
      <c r="AS210" s="33"/>
      <c r="AT210" s="25"/>
      <c r="AU210" s="176"/>
      <c r="AV210" s="31"/>
      <c r="AW210" s="31"/>
      <c r="AX210" s="31"/>
      <c r="AY210" s="31"/>
      <c r="AZ210" s="31"/>
      <c r="BA210" s="31"/>
      <c r="BB210" s="31"/>
      <c r="BC210" s="31"/>
      <c r="BD210" s="224"/>
      <c r="BE210" s="31"/>
      <c r="BF210" s="31"/>
      <c r="BG210" s="31"/>
      <c r="BH210" s="31"/>
      <c r="BI210" s="31"/>
      <c r="BJ210" s="25" t="s">
        <v>967</v>
      </c>
      <c r="BK210" s="32">
        <v>161.66</v>
      </c>
      <c r="BL210" s="244" t="s">
        <v>968</v>
      </c>
      <c r="BM210" s="244" t="s">
        <v>969</v>
      </c>
      <c r="BN210" s="244"/>
      <c r="BO210" s="244"/>
      <c r="BP210" s="244"/>
      <c r="BQ210" s="244"/>
      <c r="BR210" s="244"/>
      <c r="BS210" s="244"/>
      <c r="BT210" s="520" t="s">
        <v>356</v>
      </c>
      <c r="BU210" s="520"/>
      <c r="BV210" s="520"/>
      <c r="BW210" s="520"/>
      <c r="BX210" s="520"/>
      <c r="BY210" s="94">
        <v>13.180999999999999</v>
      </c>
      <c r="BZ210" s="94">
        <v>13.180999999999999</v>
      </c>
      <c r="CA210" s="94">
        <v>25.486999999999998</v>
      </c>
      <c r="CB210" s="92">
        <f t="shared" si="58"/>
        <v>2.5625461814855317</v>
      </c>
      <c r="CC210" s="94">
        <f>1.75+0.25</f>
        <v>2</v>
      </c>
      <c r="CD210" s="302"/>
      <c r="CE210" s="302"/>
      <c r="CF210" s="105" t="s">
        <v>135</v>
      </c>
      <c r="CG210" s="27">
        <v>1</v>
      </c>
      <c r="CH210" s="27">
        <v>9</v>
      </c>
      <c r="CI210" s="27">
        <v>1</v>
      </c>
      <c r="CJ210" s="27">
        <f t="shared" si="59"/>
        <v>9</v>
      </c>
      <c r="CK210" s="27">
        <f t="shared" si="60"/>
        <v>68</v>
      </c>
      <c r="CL210" s="27" t="s">
        <v>257</v>
      </c>
      <c r="CM210" s="27" t="s">
        <v>137</v>
      </c>
      <c r="CN210" s="14"/>
      <c r="CO210" s="14"/>
      <c r="CP210" s="14"/>
      <c r="CQ210" s="14"/>
      <c r="CR210" s="14"/>
      <c r="CS210" s="14"/>
      <c r="CT210" s="14"/>
      <c r="CU210" s="14"/>
    </row>
    <row r="211" spans="1:99" s="106" customFormat="1" ht="30" x14ac:dyDescent="0.25">
      <c r="A211" s="240">
        <v>41835</v>
      </c>
      <c r="B211" s="240"/>
      <c r="C211" s="247" t="s">
        <v>970</v>
      </c>
      <c r="D211" s="212" t="s">
        <v>54</v>
      </c>
      <c r="E211" s="214" t="s">
        <v>73</v>
      </c>
      <c r="F211" s="236" t="s">
        <v>971</v>
      </c>
      <c r="G211" s="236"/>
      <c r="H211" s="236"/>
      <c r="I211" s="236"/>
      <c r="J211" s="31" t="s">
        <v>520</v>
      </c>
      <c r="K211" s="31" t="s">
        <v>972</v>
      </c>
      <c r="L211" s="31"/>
      <c r="M211" s="31"/>
      <c r="N211" s="25"/>
      <c r="O211" s="2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216"/>
      <c r="AK211" s="216"/>
      <c r="AL211" s="216"/>
      <c r="AM211" s="216"/>
      <c r="AN211" s="25" t="s">
        <v>973</v>
      </c>
      <c r="AO211" s="33"/>
      <c r="AP211" s="25"/>
      <c r="AQ211" s="33"/>
      <c r="AR211" s="25"/>
      <c r="AS211" s="33"/>
      <c r="AT211" s="25"/>
      <c r="AU211" s="176"/>
      <c r="AV211" s="31"/>
      <c r="AW211" s="31"/>
      <c r="AX211" s="31"/>
      <c r="AY211" s="31"/>
      <c r="AZ211" s="31"/>
      <c r="BA211" s="31"/>
      <c r="BB211" s="31"/>
      <c r="BC211" s="31"/>
      <c r="BD211" s="224"/>
      <c r="BE211" s="31"/>
      <c r="BF211" s="31"/>
      <c r="BG211" s="31"/>
      <c r="BH211" s="31"/>
      <c r="BI211" s="31"/>
      <c r="BJ211" s="25" t="s">
        <v>974</v>
      </c>
      <c r="BK211" s="32">
        <v>26.31</v>
      </c>
      <c r="BL211" s="244" t="s">
        <v>975</v>
      </c>
      <c r="BM211" s="244" t="s">
        <v>976</v>
      </c>
      <c r="BN211" s="244"/>
      <c r="BO211" s="244"/>
      <c r="BP211" s="244"/>
      <c r="BQ211" s="244"/>
      <c r="BR211" s="244"/>
      <c r="BS211" s="244"/>
      <c r="BT211" s="93">
        <v>3.4224999999999999</v>
      </c>
      <c r="BU211" s="93">
        <v>3.4224999999999999</v>
      </c>
      <c r="BV211" s="93">
        <v>5.9074999999999998</v>
      </c>
      <c r="BW211" s="92">
        <f t="shared" ref="BW211" si="61">(BV211*BU211*BT211)/1728</f>
        <v>4.0044871627242476E-2</v>
      </c>
      <c r="BX211" s="93">
        <v>0.95</v>
      </c>
      <c r="BY211" s="94">
        <v>13.055999999999999</v>
      </c>
      <c r="BZ211" s="94">
        <v>9.9309999999999992</v>
      </c>
      <c r="CA211" s="94">
        <v>5.7995000000000001</v>
      </c>
      <c r="CB211" s="92">
        <f t="shared" si="58"/>
        <v>0.43516097177777774</v>
      </c>
      <c r="CC211" s="94">
        <f>CG211*BX211+0.25</f>
        <v>11.649999999999999</v>
      </c>
      <c r="CD211" s="302"/>
      <c r="CE211" s="302"/>
      <c r="CF211" s="105" t="s">
        <v>135</v>
      </c>
      <c r="CG211" s="27">
        <v>12</v>
      </c>
      <c r="CH211" s="27">
        <v>14</v>
      </c>
      <c r="CI211" s="27">
        <v>7</v>
      </c>
      <c r="CJ211" s="27">
        <f t="shared" si="59"/>
        <v>1176</v>
      </c>
      <c r="CK211" s="27">
        <f t="shared" si="60"/>
        <v>1191.6999999999998</v>
      </c>
      <c r="CL211" s="27" t="s">
        <v>257</v>
      </c>
      <c r="CM211" s="27" t="s">
        <v>137</v>
      </c>
      <c r="CN211" s="14"/>
      <c r="CO211" s="14"/>
      <c r="CP211" s="14"/>
      <c r="CQ211" s="14"/>
      <c r="CR211" s="14"/>
      <c r="CS211" s="14"/>
      <c r="CT211" s="14"/>
      <c r="CU211" s="14"/>
    </row>
    <row r="212" spans="1:99" s="106" customFormat="1" ht="30" x14ac:dyDescent="0.25">
      <c r="A212" s="240">
        <v>41815</v>
      </c>
      <c r="B212" s="240"/>
      <c r="C212" s="31" t="s">
        <v>977</v>
      </c>
      <c r="D212" s="212" t="s">
        <v>54</v>
      </c>
      <c r="E212" s="248" t="s">
        <v>978</v>
      </c>
      <c r="F212" s="46" t="s">
        <v>979</v>
      </c>
      <c r="G212" s="46"/>
      <c r="H212" s="46"/>
      <c r="I212" s="46"/>
      <c r="J212" s="31" t="s">
        <v>980</v>
      </c>
      <c r="K212" s="31" t="s">
        <v>981</v>
      </c>
      <c r="L212" s="31"/>
      <c r="M212" s="31"/>
      <c r="N212" s="25"/>
      <c r="O212" s="26"/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  <c r="AB212" s="237"/>
      <c r="AC212" s="237"/>
      <c r="AD212" s="237"/>
      <c r="AE212" s="237"/>
      <c r="AF212" s="237"/>
      <c r="AG212" s="237"/>
      <c r="AH212" s="237"/>
      <c r="AI212" s="237"/>
      <c r="AJ212" s="237"/>
      <c r="AK212" s="237"/>
      <c r="AL212" s="237"/>
      <c r="AM212" s="237"/>
      <c r="AN212" s="25" t="s">
        <v>982</v>
      </c>
      <c r="AO212" s="33"/>
      <c r="AP212" s="25">
        <v>85435</v>
      </c>
      <c r="AQ212" s="33"/>
      <c r="AR212" s="25" t="s">
        <v>983</v>
      </c>
      <c r="AS212" s="33"/>
      <c r="AT212" s="25"/>
      <c r="AU212" s="25" t="s">
        <v>984</v>
      </c>
      <c r="AV212" s="31" t="s">
        <v>985</v>
      </c>
      <c r="AW212" s="31"/>
      <c r="AX212" s="31"/>
      <c r="AY212" s="31"/>
      <c r="AZ212" s="31"/>
      <c r="BA212" s="31"/>
      <c r="BB212" s="31"/>
      <c r="BC212" s="31"/>
      <c r="BD212" s="224">
        <v>1435</v>
      </c>
      <c r="BE212" s="31"/>
      <c r="BF212" s="31"/>
      <c r="BG212" s="31"/>
      <c r="BH212" s="31"/>
      <c r="BI212" s="31"/>
      <c r="BJ212" s="25" t="s">
        <v>986</v>
      </c>
      <c r="BK212" s="32">
        <v>26.68</v>
      </c>
      <c r="BL212" s="186" t="s">
        <v>987</v>
      </c>
      <c r="BM212" s="186" t="s">
        <v>988</v>
      </c>
      <c r="BN212" s="186"/>
      <c r="BO212" s="186"/>
      <c r="BP212" s="186"/>
      <c r="BQ212" s="186"/>
      <c r="BR212" s="186"/>
      <c r="BS212" s="186"/>
      <c r="BT212" s="151">
        <v>3.4224999999999999</v>
      </c>
      <c r="BU212" s="151">
        <v>3.423</v>
      </c>
      <c r="BV212" s="151">
        <v>5.9074999999999998</v>
      </c>
      <c r="BW212" s="47">
        <f>(BV212*BU212*BT212)/1728</f>
        <v>4.0050721864149305E-2</v>
      </c>
      <c r="BX212" s="151">
        <v>0.9</v>
      </c>
      <c r="BY212" s="151">
        <v>12.875</v>
      </c>
      <c r="BZ212" s="151">
        <v>9.75</v>
      </c>
      <c r="CA212" s="151">
        <v>5.4375</v>
      </c>
      <c r="CB212" s="47">
        <f t="shared" si="58"/>
        <v>0.39500935872395831</v>
      </c>
      <c r="CC212" s="151">
        <f>BX212*CG212+0.25</f>
        <v>11.05</v>
      </c>
      <c r="CD212" s="305"/>
      <c r="CE212" s="305"/>
      <c r="CF212" s="249" t="s">
        <v>135</v>
      </c>
      <c r="CG212" s="154">
        <v>12</v>
      </c>
      <c r="CH212" s="154">
        <v>14</v>
      </c>
      <c r="CI212" s="154">
        <v>6</v>
      </c>
      <c r="CJ212" s="154">
        <f t="shared" si="59"/>
        <v>1008</v>
      </c>
      <c r="CK212" s="154">
        <f t="shared" si="60"/>
        <v>978.2</v>
      </c>
      <c r="CL212" s="250" t="s">
        <v>257</v>
      </c>
      <c r="CM212" s="154" t="s">
        <v>137</v>
      </c>
      <c r="CN212" s="238"/>
      <c r="CO212" s="238"/>
      <c r="CP212" s="14"/>
      <c r="CQ212" s="14"/>
      <c r="CR212" s="14"/>
      <c r="CS212" s="14"/>
      <c r="CT212" s="14"/>
      <c r="CU212" s="14"/>
    </row>
    <row r="213" spans="1:99" s="106" customFormat="1" ht="30" x14ac:dyDescent="0.25">
      <c r="A213" s="240">
        <v>41815</v>
      </c>
      <c r="B213" s="240"/>
      <c r="C213" s="170" t="s">
        <v>989</v>
      </c>
      <c r="D213" s="212" t="s">
        <v>54</v>
      </c>
      <c r="E213" s="248" t="s">
        <v>978</v>
      </c>
      <c r="F213" s="46" t="s">
        <v>990</v>
      </c>
      <c r="G213" s="46"/>
      <c r="H213" s="46"/>
      <c r="I213" s="46"/>
      <c r="J213" s="31" t="s">
        <v>227</v>
      </c>
      <c r="K213" s="31" t="s">
        <v>991</v>
      </c>
      <c r="L213" s="31"/>
      <c r="M213" s="31"/>
      <c r="N213" s="25"/>
      <c r="O213" s="26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  <c r="Z213" s="237"/>
      <c r="AA213" s="237"/>
      <c r="AB213" s="237"/>
      <c r="AC213" s="237"/>
      <c r="AD213" s="237"/>
      <c r="AE213" s="237"/>
      <c r="AF213" s="237"/>
      <c r="AG213" s="237"/>
      <c r="AH213" s="237"/>
      <c r="AI213" s="237"/>
      <c r="AJ213" s="237"/>
      <c r="AK213" s="237"/>
      <c r="AL213" s="237"/>
      <c r="AM213" s="237"/>
      <c r="AN213" s="25" t="s">
        <v>992</v>
      </c>
      <c r="AO213" s="33"/>
      <c r="AP213" s="25"/>
      <c r="AQ213" s="33"/>
      <c r="AR213" s="25" t="s">
        <v>993</v>
      </c>
      <c r="AS213" s="33"/>
      <c r="AT213" s="25"/>
      <c r="AU213" s="25"/>
      <c r="AV213" s="31"/>
      <c r="AW213" s="31"/>
      <c r="AX213" s="31"/>
      <c r="AY213" s="31"/>
      <c r="AZ213" s="31"/>
      <c r="BA213" s="31"/>
      <c r="BB213" s="31"/>
      <c r="BC213" s="31"/>
      <c r="BD213" s="224"/>
      <c r="BE213" s="31"/>
      <c r="BF213" s="31"/>
      <c r="BG213" s="31"/>
      <c r="BH213" s="31"/>
      <c r="BI213" s="31"/>
      <c r="BJ213" s="25">
        <v>57163</v>
      </c>
      <c r="BK213" s="224">
        <v>113.17</v>
      </c>
      <c r="BL213" s="186" t="s">
        <v>994</v>
      </c>
      <c r="BM213" s="186" t="s">
        <v>995</v>
      </c>
      <c r="BN213" s="186"/>
      <c r="BO213" s="186"/>
      <c r="BP213" s="186"/>
      <c r="BQ213" s="186"/>
      <c r="BR213" s="186"/>
      <c r="BS213" s="186"/>
      <c r="BT213" s="151">
        <v>5.0270000000000001</v>
      </c>
      <c r="BU213" s="151">
        <v>5.0629999999999997</v>
      </c>
      <c r="BV213" s="151">
        <v>14.5</v>
      </c>
      <c r="BW213" s="47">
        <f t="shared" ref="BW213" si="62">(BV213*BU213*BT213)/1728</f>
        <v>0.21357040769675925</v>
      </c>
      <c r="BX213" s="151">
        <v>5.2</v>
      </c>
      <c r="BY213" s="151">
        <v>16.493500000000001</v>
      </c>
      <c r="BZ213" s="151">
        <v>11.118499999999999</v>
      </c>
      <c r="CA213" s="151">
        <v>15.612</v>
      </c>
      <c r="CB213" s="47">
        <f t="shared" si="58"/>
        <v>1.6568142823246528</v>
      </c>
      <c r="CC213" s="151">
        <f>CG213*BX213+0.25</f>
        <v>31.450000000000003</v>
      </c>
      <c r="CD213" s="305"/>
      <c r="CE213" s="305"/>
      <c r="CF213" s="249" t="s">
        <v>135</v>
      </c>
      <c r="CG213" s="154">
        <v>6</v>
      </c>
      <c r="CH213" s="154">
        <v>9</v>
      </c>
      <c r="CI213" s="154">
        <v>2</v>
      </c>
      <c r="CJ213" s="154">
        <f t="shared" si="59"/>
        <v>108</v>
      </c>
      <c r="CK213" s="154">
        <f t="shared" si="60"/>
        <v>616.1</v>
      </c>
      <c r="CL213" s="154" t="s">
        <v>257</v>
      </c>
      <c r="CM213" s="154" t="s">
        <v>137</v>
      </c>
      <c r="CN213" s="238"/>
      <c r="CO213" s="238"/>
      <c r="CP213" s="14"/>
      <c r="CQ213" s="14"/>
      <c r="CR213" s="14"/>
      <c r="CS213" s="14"/>
      <c r="CT213" s="14"/>
      <c r="CU213" s="14"/>
    </row>
    <row r="214" spans="1:99" s="106" customFormat="1" x14ac:dyDescent="0.25">
      <c r="A214" s="240">
        <v>41815</v>
      </c>
      <c r="B214" s="240"/>
      <c r="C214" s="170" t="s">
        <v>996</v>
      </c>
      <c r="D214" s="212" t="s">
        <v>54</v>
      </c>
      <c r="E214" s="170" t="s">
        <v>487</v>
      </c>
      <c r="F214" s="46" t="s">
        <v>997</v>
      </c>
      <c r="G214" s="46"/>
      <c r="H214" s="46"/>
      <c r="I214" s="46"/>
      <c r="J214" s="31" t="s">
        <v>130</v>
      </c>
      <c r="K214" s="31">
        <v>4771302</v>
      </c>
      <c r="L214" s="31"/>
      <c r="M214" s="31"/>
      <c r="N214" s="25"/>
      <c r="O214" s="26"/>
      <c r="P214" s="237"/>
      <c r="Q214" s="237"/>
      <c r="R214" s="237"/>
      <c r="S214" s="237"/>
      <c r="T214" s="237"/>
      <c r="U214" s="237"/>
      <c r="V214" s="237"/>
      <c r="W214" s="237"/>
      <c r="X214" s="237"/>
      <c r="Y214" s="237"/>
      <c r="Z214" s="237"/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237"/>
      <c r="AK214" s="237"/>
      <c r="AL214" s="237"/>
      <c r="AM214" s="237"/>
      <c r="AN214" s="33" t="s">
        <v>998</v>
      </c>
      <c r="AO214" s="33"/>
      <c r="AP214" s="25"/>
      <c r="AQ214" s="33"/>
      <c r="AR214" s="25"/>
      <c r="AS214" s="33"/>
      <c r="AT214" s="25"/>
      <c r="AU214" s="176"/>
      <c r="AV214" s="31"/>
      <c r="AW214" s="31"/>
      <c r="AX214" s="31"/>
      <c r="AY214" s="31"/>
      <c r="AZ214" s="31"/>
      <c r="BA214" s="31"/>
      <c r="BB214" s="31"/>
      <c r="BC214" s="31"/>
      <c r="BD214" s="224"/>
      <c r="BE214" s="31"/>
      <c r="BF214" s="31"/>
      <c r="BG214" s="31"/>
      <c r="BH214" s="31"/>
      <c r="BI214" s="31"/>
      <c r="BJ214" s="31">
        <v>33683</v>
      </c>
      <c r="BK214" s="32">
        <v>75.989999999999995</v>
      </c>
      <c r="BL214" s="186" t="s">
        <v>999</v>
      </c>
      <c r="BM214" s="186" t="s">
        <v>1000</v>
      </c>
      <c r="BN214" s="186"/>
      <c r="BO214" s="186"/>
      <c r="BP214" s="186"/>
      <c r="BQ214" s="186"/>
      <c r="BR214" s="186"/>
      <c r="BS214" s="186"/>
      <c r="BT214" s="151">
        <v>4.6875</v>
      </c>
      <c r="BU214" s="151">
        <v>4.6875</v>
      </c>
      <c r="BV214" s="151">
        <v>9.5</v>
      </c>
      <c r="BW214" s="47">
        <f>(BV214*BU214*BT214)/1728</f>
        <v>0.12079874674479167</v>
      </c>
      <c r="BX214" s="151">
        <f>2.92+0.1</f>
        <v>3.02</v>
      </c>
      <c r="BY214" s="151">
        <v>14.805999999999999</v>
      </c>
      <c r="BZ214" s="151">
        <v>10.055999999999999</v>
      </c>
      <c r="CA214" s="151">
        <v>10.362</v>
      </c>
      <c r="CB214" s="47">
        <f t="shared" si="58"/>
        <v>0.89281783983333318</v>
      </c>
      <c r="CC214" s="151">
        <f>BX214*CG214+0.25</f>
        <v>18.37</v>
      </c>
      <c r="CD214" s="305"/>
      <c r="CE214" s="305"/>
      <c r="CF214" s="249"/>
      <c r="CG214" s="154">
        <v>6</v>
      </c>
      <c r="CH214" s="154">
        <v>12</v>
      </c>
      <c r="CI214" s="154">
        <v>4</v>
      </c>
      <c r="CJ214" s="154">
        <f t="shared" si="59"/>
        <v>288</v>
      </c>
      <c r="CK214" s="154">
        <f t="shared" si="60"/>
        <v>931.76</v>
      </c>
      <c r="CL214" s="250" t="s">
        <v>140</v>
      </c>
      <c r="CM214" s="154" t="s">
        <v>137</v>
      </c>
      <c r="CN214" s="238"/>
      <c r="CO214" s="238"/>
      <c r="CP214" s="14"/>
      <c r="CQ214" s="14"/>
      <c r="CR214" s="14"/>
      <c r="CS214" s="14"/>
      <c r="CT214" s="14"/>
      <c r="CU214" s="14"/>
    </row>
    <row r="215" spans="1:99" s="106" customFormat="1" ht="30" x14ac:dyDescent="0.25">
      <c r="A215" s="240">
        <v>41815</v>
      </c>
      <c r="B215" s="240"/>
      <c r="C215" s="170" t="s">
        <v>1001</v>
      </c>
      <c r="D215" s="212" t="s">
        <v>54</v>
      </c>
      <c r="E215" s="170" t="s">
        <v>487</v>
      </c>
      <c r="F215" s="170" t="s">
        <v>1002</v>
      </c>
      <c r="G215" s="170"/>
      <c r="H215" s="170"/>
      <c r="I215" s="170"/>
      <c r="J215" s="31" t="s">
        <v>1003</v>
      </c>
      <c r="K215" s="31">
        <v>87803182</v>
      </c>
      <c r="L215" s="31" t="s">
        <v>895</v>
      </c>
      <c r="M215" s="31">
        <v>2830359</v>
      </c>
      <c r="N215" s="25" t="s">
        <v>157</v>
      </c>
      <c r="O215" s="26">
        <v>87803180</v>
      </c>
      <c r="P215" s="237"/>
      <c r="Q215" s="237"/>
      <c r="R215" s="237"/>
      <c r="S215" s="237"/>
      <c r="T215" s="237"/>
      <c r="U215" s="237"/>
      <c r="V215" s="237"/>
      <c r="W215" s="237"/>
      <c r="X215" s="237"/>
      <c r="Y215" s="237"/>
      <c r="Z215" s="237"/>
      <c r="AA215" s="237"/>
      <c r="AB215" s="237"/>
      <c r="AC215" s="237"/>
      <c r="AD215" s="237"/>
      <c r="AE215" s="237"/>
      <c r="AF215" s="237"/>
      <c r="AG215" s="237"/>
      <c r="AH215" s="237"/>
      <c r="AI215" s="237"/>
      <c r="AJ215" s="237"/>
      <c r="AK215" s="237"/>
      <c r="AL215" s="237"/>
      <c r="AM215" s="237"/>
      <c r="AN215" s="25" t="s">
        <v>1004</v>
      </c>
      <c r="AO215" s="33"/>
      <c r="AP215" s="25"/>
      <c r="AQ215" s="33"/>
      <c r="AR215" s="25"/>
      <c r="AS215" s="33"/>
      <c r="AT215" s="25" t="s">
        <v>1005</v>
      </c>
      <c r="AU215" s="176"/>
      <c r="AV215" s="31"/>
      <c r="AW215" s="31"/>
      <c r="AX215" s="31"/>
      <c r="AY215" s="31"/>
      <c r="AZ215" s="31"/>
      <c r="BA215" s="31"/>
      <c r="BB215" s="31"/>
      <c r="BC215" s="31"/>
      <c r="BD215" s="224"/>
      <c r="BE215" s="31"/>
      <c r="BF215" s="31"/>
      <c r="BG215" s="31"/>
      <c r="BH215" s="31"/>
      <c r="BI215" s="31"/>
      <c r="BJ215" s="31"/>
      <c r="BK215" s="32">
        <v>22.5</v>
      </c>
      <c r="BL215" s="251" t="s">
        <v>1006</v>
      </c>
      <c r="BM215" s="251" t="s">
        <v>1007</v>
      </c>
      <c r="BN215" s="251"/>
      <c r="BO215" s="251"/>
      <c r="BP215" s="251"/>
      <c r="BQ215" s="251"/>
      <c r="BR215" s="251"/>
      <c r="BS215" s="251"/>
      <c r="BT215" s="151">
        <v>3.875</v>
      </c>
      <c r="BU215" s="151">
        <v>3.875</v>
      </c>
      <c r="BV215" s="151">
        <v>7.25</v>
      </c>
      <c r="BW215" s="47">
        <f>(BV215*BU215*BT215)/1728</f>
        <v>6.2999584056712965E-2</v>
      </c>
      <c r="BX215" s="151">
        <v>1.6</v>
      </c>
      <c r="BY215" s="151">
        <v>15.805999999999999</v>
      </c>
      <c r="BZ215" s="151">
        <v>11.805999999999999</v>
      </c>
      <c r="CA215" s="151">
        <v>8.1120000000000001</v>
      </c>
      <c r="CB215" s="47">
        <f t="shared" si="58"/>
        <v>0.87600979122222211</v>
      </c>
      <c r="CC215" s="151">
        <f>BX215*CG215+0.25</f>
        <v>19.450000000000003</v>
      </c>
      <c r="CD215" s="305"/>
      <c r="CE215" s="305"/>
      <c r="CF215" s="249" t="s">
        <v>135</v>
      </c>
      <c r="CG215" s="154">
        <v>12</v>
      </c>
      <c r="CH215" s="154">
        <v>10</v>
      </c>
      <c r="CI215" s="154">
        <v>5</v>
      </c>
      <c r="CJ215" s="154">
        <f t="shared" si="59"/>
        <v>600</v>
      </c>
      <c r="CK215" s="154">
        <f t="shared" si="60"/>
        <v>1022.5000000000001</v>
      </c>
      <c r="CL215" s="154" t="s">
        <v>257</v>
      </c>
      <c r="CM215" s="154" t="s">
        <v>137</v>
      </c>
      <c r="CN215" s="238"/>
      <c r="CO215" s="238"/>
      <c r="CP215" s="14"/>
      <c r="CQ215" s="14"/>
      <c r="CR215" s="14"/>
      <c r="CS215" s="14"/>
      <c r="CT215" s="14"/>
      <c r="CU215" s="14"/>
    </row>
    <row r="216" spans="1:99" s="106" customFormat="1" ht="30" x14ac:dyDescent="0.25">
      <c r="A216" s="240">
        <v>41815</v>
      </c>
      <c r="B216" s="240"/>
      <c r="C216" s="252" t="s">
        <v>1008</v>
      </c>
      <c r="D216" s="212" t="s">
        <v>54</v>
      </c>
      <c r="E216" s="252" t="s">
        <v>496</v>
      </c>
      <c r="F216" s="176" t="s">
        <v>1009</v>
      </c>
      <c r="G216" s="176"/>
      <c r="H216" s="176"/>
      <c r="I216" s="176"/>
      <c r="J216" s="31" t="s">
        <v>351</v>
      </c>
      <c r="K216" s="31" t="s">
        <v>1010</v>
      </c>
      <c r="L216" s="31"/>
      <c r="M216" s="31"/>
      <c r="N216" s="25"/>
      <c r="O216" s="26"/>
      <c r="P216" s="237"/>
      <c r="Q216" s="237"/>
      <c r="R216" s="237"/>
      <c r="S216" s="237"/>
      <c r="T216" s="237"/>
      <c r="U216" s="237"/>
      <c r="V216" s="237"/>
      <c r="W216" s="237"/>
      <c r="X216" s="237"/>
      <c r="Y216" s="237"/>
      <c r="Z216" s="237"/>
      <c r="AA216" s="237"/>
      <c r="AB216" s="237"/>
      <c r="AC216" s="237"/>
      <c r="AD216" s="237"/>
      <c r="AE216" s="237"/>
      <c r="AF216" s="237"/>
      <c r="AG216" s="237"/>
      <c r="AH216" s="237"/>
      <c r="AI216" s="237"/>
      <c r="AJ216" s="237"/>
      <c r="AK216" s="237"/>
      <c r="AL216" s="237"/>
      <c r="AM216" s="237"/>
      <c r="AN216" s="25" t="s">
        <v>1011</v>
      </c>
      <c r="AO216" s="33"/>
      <c r="AP216" s="25"/>
      <c r="AQ216" s="33"/>
      <c r="AR216" s="25"/>
      <c r="AS216" s="33"/>
      <c r="AT216" s="25" t="s">
        <v>1012</v>
      </c>
      <c r="AU216" s="176"/>
      <c r="AV216" s="31"/>
      <c r="AW216" s="31"/>
      <c r="AX216" s="31"/>
      <c r="AY216" s="31"/>
      <c r="AZ216" s="31"/>
      <c r="BA216" s="31"/>
      <c r="BB216" s="31"/>
      <c r="BC216" s="31"/>
      <c r="BD216" s="224"/>
      <c r="BE216" s="31"/>
      <c r="BF216" s="31"/>
      <c r="BG216" s="31"/>
      <c r="BH216" s="31"/>
      <c r="BI216" s="31"/>
      <c r="BJ216" s="25" t="s">
        <v>1013</v>
      </c>
      <c r="BK216" s="32">
        <v>47.42</v>
      </c>
      <c r="BL216" s="251" t="s">
        <v>1014</v>
      </c>
      <c r="BM216" s="251" t="s">
        <v>1015</v>
      </c>
      <c r="BN216" s="251"/>
      <c r="BO216" s="251"/>
      <c r="BP216" s="251"/>
      <c r="BQ216" s="251"/>
      <c r="BR216" s="251"/>
      <c r="BS216" s="251"/>
      <c r="BT216" s="151">
        <v>5.1875</v>
      </c>
      <c r="BU216" s="151">
        <v>5.1875</v>
      </c>
      <c r="BV216" s="151">
        <v>14.75</v>
      </c>
      <c r="BW216" s="47">
        <f>(BV216*BU216*BT216)/1728</f>
        <v>0.22970185456452547</v>
      </c>
      <c r="BX216" s="151">
        <v>4.83</v>
      </c>
      <c r="BY216" s="151">
        <v>16.493500000000001</v>
      </c>
      <c r="BZ216" s="151">
        <v>11.118499999999999</v>
      </c>
      <c r="CA216" s="151">
        <v>15.612</v>
      </c>
      <c r="CB216" s="47">
        <f t="shared" si="58"/>
        <v>1.6568142823246528</v>
      </c>
      <c r="CC216" s="151">
        <f>BX216*CG216+0.4</f>
        <v>29.38</v>
      </c>
      <c r="CD216" s="305"/>
      <c r="CE216" s="305"/>
      <c r="CF216" s="249" t="s">
        <v>135</v>
      </c>
      <c r="CG216" s="154">
        <v>6</v>
      </c>
      <c r="CH216" s="154">
        <v>9</v>
      </c>
      <c r="CI216" s="154">
        <v>2</v>
      </c>
      <c r="CJ216" s="154">
        <f t="shared" si="59"/>
        <v>108</v>
      </c>
      <c r="CK216" s="154">
        <f t="shared" si="60"/>
        <v>578.84</v>
      </c>
      <c r="CL216" s="154" t="s">
        <v>257</v>
      </c>
      <c r="CM216" s="154" t="s">
        <v>137</v>
      </c>
      <c r="CN216" s="238"/>
      <c r="CO216" s="238"/>
      <c r="CP216" s="14"/>
      <c r="CQ216" s="14"/>
      <c r="CR216" s="14"/>
      <c r="CS216" s="14"/>
      <c r="CT216" s="14"/>
      <c r="CU216" s="14"/>
    </row>
    <row r="217" spans="1:99" s="106" customFormat="1" x14ac:dyDescent="0.25">
      <c r="A217" s="240">
        <v>41815</v>
      </c>
      <c r="B217" s="240"/>
      <c r="C217" s="170" t="s">
        <v>1016</v>
      </c>
      <c r="D217" s="212" t="s">
        <v>54</v>
      </c>
      <c r="E217" s="170" t="s">
        <v>487</v>
      </c>
      <c r="F217" s="32" t="s">
        <v>1017</v>
      </c>
      <c r="G217" s="32"/>
      <c r="H217" s="32"/>
      <c r="I217" s="32"/>
      <c r="J217" s="31" t="s">
        <v>895</v>
      </c>
      <c r="K217" s="31">
        <v>3685306</v>
      </c>
      <c r="L217" s="31"/>
      <c r="M217" s="31"/>
      <c r="N217" s="25"/>
      <c r="O217" s="26"/>
      <c r="P217" s="237"/>
      <c r="Q217" s="237"/>
      <c r="R217" s="237"/>
      <c r="S217" s="237"/>
      <c r="T217" s="237"/>
      <c r="U217" s="237"/>
      <c r="V217" s="237"/>
      <c r="W217" s="237"/>
      <c r="X217" s="237"/>
      <c r="Y217" s="237"/>
      <c r="Z217" s="237"/>
      <c r="AA217" s="237"/>
      <c r="AB217" s="237"/>
      <c r="AC217" s="237"/>
      <c r="AD217" s="237"/>
      <c r="AE217" s="237"/>
      <c r="AF217" s="237"/>
      <c r="AG217" s="237"/>
      <c r="AH217" s="237"/>
      <c r="AI217" s="237"/>
      <c r="AJ217" s="237"/>
      <c r="AK217" s="237"/>
      <c r="AL217" s="237"/>
      <c r="AM217" s="237"/>
      <c r="AN217" s="25" t="s">
        <v>1018</v>
      </c>
      <c r="AO217" s="33"/>
      <c r="AP217" s="25"/>
      <c r="AQ217" s="33"/>
      <c r="AR217" s="25" t="s">
        <v>1019</v>
      </c>
      <c r="AS217" s="33"/>
      <c r="AT217" s="25" t="s">
        <v>1020</v>
      </c>
      <c r="AU217" s="176"/>
      <c r="AV217" s="31"/>
      <c r="AW217" s="31"/>
      <c r="AX217" s="31"/>
      <c r="AY217" s="31"/>
      <c r="AZ217" s="31"/>
      <c r="BA217" s="31"/>
      <c r="BB217" s="31"/>
      <c r="BC217" s="31"/>
      <c r="BD217" s="224"/>
      <c r="BE217" s="31"/>
      <c r="BF217" s="31"/>
      <c r="BG217" s="31"/>
      <c r="BH217" s="31"/>
      <c r="BI217" s="31"/>
      <c r="BJ217" s="25" t="s">
        <v>1021</v>
      </c>
      <c r="BK217" s="32">
        <v>67.849999999999994</v>
      </c>
      <c r="BL217" s="186" t="s">
        <v>1022</v>
      </c>
      <c r="BM217" s="186" t="s">
        <v>1023</v>
      </c>
      <c r="BN217" s="186"/>
      <c r="BO217" s="186"/>
      <c r="BP217" s="186"/>
      <c r="BQ217" s="186"/>
      <c r="BR217" s="186"/>
      <c r="BS217" s="186"/>
      <c r="BT217" s="524" t="s">
        <v>876</v>
      </c>
      <c r="BU217" s="524"/>
      <c r="BV217" s="524"/>
      <c r="BW217" s="524"/>
      <c r="BX217" s="524"/>
      <c r="BY217" s="151">
        <v>15.055999999999999</v>
      </c>
      <c r="BZ217" s="151">
        <v>10.305999999999999</v>
      </c>
      <c r="CA217" s="151">
        <v>13.362</v>
      </c>
      <c r="CB217" s="47">
        <f t="shared" si="58"/>
        <v>1.199851430111111</v>
      </c>
      <c r="CC217" s="151">
        <v>32.247999999999998</v>
      </c>
      <c r="CD217" s="305"/>
      <c r="CE217" s="305"/>
      <c r="CF217" s="224" t="s">
        <v>135</v>
      </c>
      <c r="CG217" s="154">
        <v>6</v>
      </c>
      <c r="CH217" s="154">
        <v>10</v>
      </c>
      <c r="CI217" s="154">
        <v>3</v>
      </c>
      <c r="CJ217" s="154">
        <f t="shared" si="59"/>
        <v>180</v>
      </c>
      <c r="CK217" s="154">
        <f>(CB217*CH217*CI217)+50</f>
        <v>85.99554290333333</v>
      </c>
      <c r="CL217" s="154" t="s">
        <v>257</v>
      </c>
      <c r="CM217" s="154" t="s">
        <v>137</v>
      </c>
      <c r="CN217" s="238"/>
      <c r="CO217" s="238"/>
      <c r="CP217" s="14"/>
      <c r="CQ217" s="14"/>
      <c r="CR217" s="14"/>
      <c r="CS217" s="14"/>
      <c r="CT217" s="14"/>
      <c r="CU217" s="14"/>
    </row>
    <row r="218" spans="1:99" s="106" customFormat="1" ht="45" x14ac:dyDescent="0.25">
      <c r="A218" s="240">
        <v>41815</v>
      </c>
      <c r="B218" s="240"/>
      <c r="C218" s="170" t="s">
        <v>1024</v>
      </c>
      <c r="D218" s="212" t="s">
        <v>54</v>
      </c>
      <c r="E218" s="170" t="s">
        <v>487</v>
      </c>
      <c r="F218" s="32" t="s">
        <v>1025</v>
      </c>
      <c r="G218" s="32"/>
      <c r="H218" s="32"/>
      <c r="I218" s="32"/>
      <c r="J218" s="31" t="s">
        <v>1026</v>
      </c>
      <c r="K218" s="31" t="s">
        <v>1027</v>
      </c>
      <c r="L218" s="31"/>
      <c r="M218" s="31"/>
      <c r="N218" s="25"/>
      <c r="O218" s="26"/>
      <c r="P218" s="237"/>
      <c r="Q218" s="237"/>
      <c r="R218" s="237"/>
      <c r="S218" s="237"/>
      <c r="T218" s="237"/>
      <c r="U218" s="237"/>
      <c r="V218" s="237"/>
      <c r="W218" s="237"/>
      <c r="X218" s="237"/>
      <c r="Y218" s="237"/>
      <c r="Z218" s="237"/>
      <c r="AA218" s="237"/>
      <c r="AB218" s="237"/>
      <c r="AC218" s="237"/>
      <c r="AD218" s="237"/>
      <c r="AE218" s="237"/>
      <c r="AF218" s="237"/>
      <c r="AG218" s="237"/>
      <c r="AH218" s="237"/>
      <c r="AI218" s="237"/>
      <c r="AJ218" s="237"/>
      <c r="AK218" s="237"/>
      <c r="AL218" s="237"/>
      <c r="AM218" s="237"/>
      <c r="AN218" s="33" t="s">
        <v>1028</v>
      </c>
      <c r="AO218" s="33"/>
      <c r="AP218" s="25"/>
      <c r="AQ218" s="33"/>
      <c r="AR218" s="25" t="s">
        <v>1029</v>
      </c>
      <c r="AS218" s="33"/>
      <c r="AT218" s="25" t="s">
        <v>1030</v>
      </c>
      <c r="AU218" s="176"/>
      <c r="AV218" s="31"/>
      <c r="AW218" s="31"/>
      <c r="AX218" s="31"/>
      <c r="AY218" s="31"/>
      <c r="AZ218" s="31"/>
      <c r="BA218" s="31"/>
      <c r="BB218" s="31"/>
      <c r="BC218" s="31"/>
      <c r="BD218" s="224"/>
      <c r="BE218" s="31"/>
      <c r="BF218" s="31"/>
      <c r="BG218" s="31"/>
      <c r="BH218" s="31"/>
      <c r="BI218" s="31"/>
      <c r="BJ218" s="31">
        <v>33822</v>
      </c>
      <c r="BK218" s="32">
        <v>62.81</v>
      </c>
      <c r="BL218" s="186" t="s">
        <v>1031</v>
      </c>
      <c r="BM218" s="186" t="s">
        <v>1032</v>
      </c>
      <c r="BN218" s="186"/>
      <c r="BO218" s="186"/>
      <c r="BP218" s="186"/>
      <c r="BQ218" s="186"/>
      <c r="BR218" s="186"/>
      <c r="BS218" s="186"/>
      <c r="BT218" s="151">
        <v>4.7859999999999996</v>
      </c>
      <c r="BU218" s="151">
        <v>4.7859999999999996</v>
      </c>
      <c r="BV218" s="151">
        <v>10.692</v>
      </c>
      <c r="BW218" s="47">
        <f t="shared" ref="BW218" si="63">(BV218*BU218*BT218)/1728</f>
        <v>0.14172961274999998</v>
      </c>
      <c r="BX218" s="151">
        <v>2.65</v>
      </c>
      <c r="BY218" s="151">
        <v>14.75</v>
      </c>
      <c r="BZ218" s="151">
        <v>10</v>
      </c>
      <c r="CA218" s="151">
        <v>12.12</v>
      </c>
      <c r="CB218" s="47">
        <f t="shared" si="58"/>
        <v>1.0345486111111111</v>
      </c>
      <c r="CC218" s="151">
        <f>CG218*BX218+0.25</f>
        <v>16.149999999999999</v>
      </c>
      <c r="CD218" s="305"/>
      <c r="CE218" s="305"/>
      <c r="CF218" s="249" t="s">
        <v>135</v>
      </c>
      <c r="CG218" s="154">
        <v>6</v>
      </c>
      <c r="CH218" s="154">
        <v>12</v>
      </c>
      <c r="CI218" s="154">
        <v>3</v>
      </c>
      <c r="CJ218" s="154">
        <f t="shared" si="59"/>
        <v>216</v>
      </c>
      <c r="CK218" s="154">
        <f t="shared" ref="CK218:CK233" si="64">(CC218*CH218*CI218)+50</f>
        <v>631.4</v>
      </c>
      <c r="CL218" s="154" t="s">
        <v>257</v>
      </c>
      <c r="CM218" s="154" t="s">
        <v>137</v>
      </c>
      <c r="CN218" s="238"/>
      <c r="CO218" s="238"/>
      <c r="CP218" s="14"/>
      <c r="CQ218" s="14"/>
      <c r="CR218" s="14"/>
      <c r="CS218" s="14"/>
      <c r="CT218" s="14"/>
      <c r="CU218" s="14"/>
    </row>
    <row r="219" spans="1:99" s="106" customFormat="1" ht="30" x14ac:dyDescent="0.25">
      <c r="A219" s="240">
        <v>41791</v>
      </c>
      <c r="B219" s="240"/>
      <c r="C219" s="214" t="s">
        <v>1033</v>
      </c>
      <c r="D219" s="212" t="s">
        <v>54</v>
      </c>
      <c r="E219" s="253" t="s">
        <v>1034</v>
      </c>
      <c r="F219" s="214" t="s">
        <v>1035</v>
      </c>
      <c r="G219" s="214"/>
      <c r="H219" s="214"/>
      <c r="I219" s="214"/>
      <c r="J219" s="223" t="s">
        <v>520</v>
      </c>
      <c r="K219" s="223" t="s">
        <v>1036</v>
      </c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3"/>
      <c r="AK219" s="223"/>
      <c r="AL219" s="223"/>
      <c r="AM219" s="223"/>
      <c r="AN219" s="223"/>
      <c r="AO219" s="223"/>
      <c r="AP219" s="223"/>
      <c r="AQ219" s="223"/>
      <c r="AR219" s="223"/>
      <c r="AS219" s="223"/>
      <c r="AT219" s="223" t="s">
        <v>1037</v>
      </c>
      <c r="AU219" s="223"/>
      <c r="AV219" s="223"/>
      <c r="AW219" s="223"/>
      <c r="AX219" s="223"/>
      <c r="AY219" s="223"/>
      <c r="AZ219" s="223"/>
      <c r="BA219" s="223"/>
      <c r="BB219" s="223"/>
      <c r="BC219" s="223"/>
      <c r="BD219" s="223"/>
      <c r="BE219" s="223"/>
      <c r="BF219" s="223"/>
      <c r="BG219" s="223"/>
      <c r="BH219" s="223"/>
      <c r="BI219" s="223"/>
      <c r="BJ219" s="223" t="s">
        <v>1038</v>
      </c>
      <c r="BK219" s="32">
        <v>53.49</v>
      </c>
      <c r="BL219" s="233" t="s">
        <v>1039</v>
      </c>
      <c r="BM219" s="233" t="s">
        <v>1040</v>
      </c>
      <c r="BN219" s="233"/>
      <c r="BO219" s="233"/>
      <c r="BP219" s="233"/>
      <c r="BQ219" s="233"/>
      <c r="BR219" s="233"/>
      <c r="BS219" s="233"/>
      <c r="BT219" s="521" t="s">
        <v>876</v>
      </c>
      <c r="BU219" s="521"/>
      <c r="BV219" s="521"/>
      <c r="BW219" s="521"/>
      <c r="BX219" s="521"/>
      <c r="BY219" s="94">
        <v>15.055999999999999</v>
      </c>
      <c r="BZ219" s="94">
        <v>10.305999999999999</v>
      </c>
      <c r="CA219" s="94">
        <v>13.362</v>
      </c>
      <c r="CB219" s="92">
        <f t="shared" si="58"/>
        <v>1.199851430111111</v>
      </c>
      <c r="CC219" s="94">
        <f>2.4*6+0.4</f>
        <v>14.799999999999999</v>
      </c>
      <c r="CD219" s="302"/>
      <c r="CE219" s="302"/>
      <c r="CF219" s="105"/>
      <c r="CG219" s="27">
        <v>6</v>
      </c>
      <c r="CH219" s="27">
        <v>10</v>
      </c>
      <c r="CI219" s="27">
        <v>3</v>
      </c>
      <c r="CJ219" s="27">
        <f t="shared" si="59"/>
        <v>180</v>
      </c>
      <c r="CK219" s="27">
        <f t="shared" si="64"/>
        <v>494</v>
      </c>
      <c r="CL219" s="27" t="s">
        <v>257</v>
      </c>
      <c r="CM219" s="27" t="s">
        <v>137</v>
      </c>
      <c r="CN219" s="238"/>
      <c r="CO219" s="238"/>
      <c r="CP219" s="14"/>
      <c r="CQ219" s="14"/>
      <c r="CR219" s="14"/>
      <c r="CS219" s="14"/>
      <c r="CT219" s="14"/>
      <c r="CU219" s="14"/>
    </row>
    <row r="220" spans="1:99" s="106" customFormat="1" x14ac:dyDescent="0.25">
      <c r="A220" s="240">
        <v>41791</v>
      </c>
      <c r="B220" s="240"/>
      <c r="C220" s="214" t="s">
        <v>1041</v>
      </c>
      <c r="D220" s="212" t="s">
        <v>54</v>
      </c>
      <c r="E220" s="214" t="s">
        <v>439</v>
      </c>
      <c r="F220" s="236" t="s">
        <v>1042</v>
      </c>
      <c r="G220" s="236"/>
      <c r="H220" s="236"/>
      <c r="I220" s="236"/>
      <c r="J220" s="223" t="s">
        <v>489</v>
      </c>
      <c r="K220" s="223" t="s">
        <v>1043</v>
      </c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3"/>
      <c r="AK220" s="223"/>
      <c r="AL220" s="223"/>
      <c r="AM220" s="223"/>
      <c r="AN220" s="223" t="s">
        <v>1044</v>
      </c>
      <c r="AO220" s="223"/>
      <c r="AP220" s="223"/>
      <c r="AQ220" s="223"/>
      <c r="AR220" s="223" t="s">
        <v>1045</v>
      </c>
      <c r="AS220" s="223"/>
      <c r="AT220" s="223" t="s">
        <v>1046</v>
      </c>
      <c r="AU220" s="223" t="s">
        <v>1047</v>
      </c>
      <c r="AV220" s="223"/>
      <c r="AW220" s="223"/>
      <c r="AX220" s="223"/>
      <c r="AY220" s="223"/>
      <c r="AZ220" s="223"/>
      <c r="BA220" s="223"/>
      <c r="BB220" s="223"/>
      <c r="BC220" s="223"/>
      <c r="BD220" s="223"/>
      <c r="BE220" s="223"/>
      <c r="BF220" s="223"/>
      <c r="BG220" s="223"/>
      <c r="BH220" s="223"/>
      <c r="BI220" s="223"/>
      <c r="BJ220" s="223"/>
      <c r="BK220" s="32">
        <v>33.840000000000003</v>
      </c>
      <c r="BL220" s="233" t="s">
        <v>1048</v>
      </c>
      <c r="BM220" s="233" t="s">
        <v>1049</v>
      </c>
      <c r="BN220" s="233"/>
      <c r="BO220" s="233"/>
      <c r="BP220" s="233"/>
      <c r="BQ220" s="233"/>
      <c r="BR220" s="233"/>
      <c r="BS220" s="233"/>
      <c r="BT220" s="520" t="s">
        <v>356</v>
      </c>
      <c r="BU220" s="520"/>
      <c r="BV220" s="520"/>
      <c r="BW220" s="520"/>
      <c r="BX220" s="520"/>
      <c r="BY220" s="94">
        <v>6.806</v>
      </c>
      <c r="BZ220" s="94">
        <v>6.806</v>
      </c>
      <c r="CA220" s="94">
        <v>6.1120000000000001</v>
      </c>
      <c r="CB220" s="92">
        <f t="shared" si="58"/>
        <v>0.16384134214814813</v>
      </c>
      <c r="CC220" s="94">
        <f>1.5+0.25</f>
        <v>1.75</v>
      </c>
      <c r="CD220" s="302"/>
      <c r="CE220" s="302"/>
      <c r="CF220" s="105"/>
      <c r="CG220" s="27">
        <v>1</v>
      </c>
      <c r="CH220" s="27">
        <v>35</v>
      </c>
      <c r="CI220" s="27">
        <v>7</v>
      </c>
      <c r="CJ220" s="27">
        <f t="shared" si="59"/>
        <v>245</v>
      </c>
      <c r="CK220" s="27">
        <f t="shared" si="64"/>
        <v>478.75</v>
      </c>
      <c r="CL220" s="27" t="s">
        <v>257</v>
      </c>
      <c r="CM220" s="27" t="s">
        <v>137</v>
      </c>
      <c r="CN220" s="238"/>
      <c r="CO220" s="238"/>
      <c r="CP220" s="14"/>
      <c r="CQ220" s="14"/>
      <c r="CR220" s="14"/>
      <c r="CS220" s="14"/>
      <c r="CT220" s="14"/>
      <c r="CU220" s="14"/>
    </row>
    <row r="221" spans="1:99" s="106" customFormat="1" x14ac:dyDescent="0.25">
      <c r="A221" s="240">
        <v>41791</v>
      </c>
      <c r="B221" s="240"/>
      <c r="C221" s="214" t="s">
        <v>1050</v>
      </c>
      <c r="D221" s="212" t="s">
        <v>54</v>
      </c>
      <c r="E221" s="214" t="s">
        <v>439</v>
      </c>
      <c r="F221" s="236" t="s">
        <v>1051</v>
      </c>
      <c r="G221" s="236"/>
      <c r="H221" s="236"/>
      <c r="I221" s="236"/>
      <c r="J221" s="223" t="s">
        <v>108</v>
      </c>
      <c r="K221" s="223">
        <v>9179832</v>
      </c>
      <c r="L221" s="223" t="s">
        <v>109</v>
      </c>
      <c r="M221" s="223" t="s">
        <v>1052</v>
      </c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3"/>
      <c r="AK221" s="223"/>
      <c r="AL221" s="223"/>
      <c r="AM221" s="223"/>
      <c r="AN221" s="223" t="s">
        <v>1053</v>
      </c>
      <c r="AO221" s="223"/>
      <c r="AP221" s="223"/>
      <c r="AQ221" s="223"/>
      <c r="AR221" s="223"/>
      <c r="AS221" s="223"/>
      <c r="AT221" s="223"/>
      <c r="AU221" s="223"/>
      <c r="AV221" s="223"/>
      <c r="AW221" s="223"/>
      <c r="AX221" s="223"/>
      <c r="AY221" s="223"/>
      <c r="AZ221" s="223"/>
      <c r="BA221" s="223"/>
      <c r="BB221" s="223"/>
      <c r="BC221" s="223"/>
      <c r="BD221" s="223"/>
      <c r="BE221" s="223"/>
      <c r="BF221" s="223"/>
      <c r="BG221" s="223"/>
      <c r="BH221" s="223"/>
      <c r="BI221" s="223"/>
      <c r="BJ221" s="223">
        <v>49832</v>
      </c>
      <c r="BK221" s="32">
        <v>102.947</v>
      </c>
      <c r="BL221" s="233" t="s">
        <v>1054</v>
      </c>
      <c r="BM221" s="233" t="s">
        <v>1055</v>
      </c>
      <c r="BN221" s="233"/>
      <c r="BO221" s="233"/>
      <c r="BP221" s="233"/>
      <c r="BQ221" s="233"/>
      <c r="BR221" s="233"/>
      <c r="BS221" s="233"/>
      <c r="BT221" s="520" t="s">
        <v>356</v>
      </c>
      <c r="BU221" s="520"/>
      <c r="BV221" s="520"/>
      <c r="BW221" s="520"/>
      <c r="BX221" s="520"/>
      <c r="BY221" s="94">
        <v>9.6809999999999992</v>
      </c>
      <c r="BZ221" s="94">
        <v>9.6809999999999992</v>
      </c>
      <c r="CA221" s="94">
        <v>20.486999999999998</v>
      </c>
      <c r="CB221" s="92">
        <f t="shared" si="58"/>
        <v>1.1111560865781247</v>
      </c>
      <c r="CC221" s="94">
        <f>3.87+0.25</f>
        <v>4.12</v>
      </c>
      <c r="CD221" s="302"/>
      <c r="CE221" s="302"/>
      <c r="CF221" s="105" t="s">
        <v>135</v>
      </c>
      <c r="CG221" s="27">
        <v>1</v>
      </c>
      <c r="CH221" s="27">
        <v>16</v>
      </c>
      <c r="CI221" s="27">
        <v>2</v>
      </c>
      <c r="CJ221" s="27">
        <f t="shared" si="59"/>
        <v>32</v>
      </c>
      <c r="CK221" s="27">
        <f t="shared" si="64"/>
        <v>181.84</v>
      </c>
      <c r="CL221" s="27" t="s">
        <v>257</v>
      </c>
      <c r="CM221" s="27" t="s">
        <v>137</v>
      </c>
      <c r="CN221" s="238"/>
      <c r="CO221" s="238"/>
      <c r="CP221" s="14"/>
      <c r="CQ221" s="14"/>
      <c r="CR221" s="14"/>
      <c r="CS221" s="14"/>
      <c r="CT221" s="14"/>
      <c r="CU221" s="14"/>
    </row>
    <row r="222" spans="1:99" s="106" customFormat="1" x14ac:dyDescent="0.25">
      <c r="A222" s="240">
        <v>41791</v>
      </c>
      <c r="B222" s="240"/>
      <c r="C222" s="214" t="s">
        <v>1056</v>
      </c>
      <c r="D222" s="212" t="s">
        <v>54</v>
      </c>
      <c r="E222" s="214" t="s">
        <v>439</v>
      </c>
      <c r="F222" s="214" t="s">
        <v>1057</v>
      </c>
      <c r="G222" s="214"/>
      <c r="H222" s="214"/>
      <c r="I222" s="214"/>
      <c r="J222" s="223" t="s">
        <v>520</v>
      </c>
      <c r="K222" s="223" t="s">
        <v>1058</v>
      </c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3"/>
      <c r="AK222" s="223"/>
      <c r="AL222" s="223"/>
      <c r="AM222" s="223"/>
      <c r="AN222" s="223"/>
      <c r="AO222" s="223"/>
      <c r="AP222" s="223"/>
      <c r="AQ222" s="223"/>
      <c r="AR222" s="223" t="s">
        <v>1059</v>
      </c>
      <c r="AS222" s="223"/>
      <c r="AT222" s="223"/>
      <c r="AU222" s="223"/>
      <c r="AV222" s="223"/>
      <c r="AW222" s="223"/>
      <c r="AX222" s="223"/>
      <c r="AY222" s="223"/>
      <c r="AZ222" s="223"/>
      <c r="BA222" s="223"/>
      <c r="BB222" s="223"/>
      <c r="BC222" s="223"/>
      <c r="BD222" s="223"/>
      <c r="BE222" s="223"/>
      <c r="BF222" s="223"/>
      <c r="BG222" s="223"/>
      <c r="BH222" s="223"/>
      <c r="BI222" s="223"/>
      <c r="BJ222" s="223"/>
      <c r="BK222" s="32">
        <v>242.03</v>
      </c>
      <c r="BL222" s="233" t="s">
        <v>1060</v>
      </c>
      <c r="BM222" s="233" t="s">
        <v>1061</v>
      </c>
      <c r="BN222" s="233"/>
      <c r="BO222" s="233"/>
      <c r="BP222" s="233"/>
      <c r="BQ222" s="233"/>
      <c r="BR222" s="233"/>
      <c r="BS222" s="233"/>
      <c r="BT222" s="520" t="s">
        <v>356</v>
      </c>
      <c r="BU222" s="520"/>
      <c r="BV222" s="520"/>
      <c r="BW222" s="520"/>
      <c r="BX222" s="520"/>
      <c r="BY222" s="94">
        <v>10.99</v>
      </c>
      <c r="BZ222" s="94">
        <v>10.25</v>
      </c>
      <c r="CA222" s="94">
        <v>8.57</v>
      </c>
      <c r="CB222" s="92">
        <f t="shared" si="58"/>
        <v>0.55867423321759258</v>
      </c>
      <c r="CC222" s="94">
        <f>2.84+0.25</f>
        <v>3.09</v>
      </c>
      <c r="CD222" s="302"/>
      <c r="CE222" s="302"/>
      <c r="CF222" s="105"/>
      <c r="CG222" s="27">
        <v>1</v>
      </c>
      <c r="CH222" s="27">
        <v>6</v>
      </c>
      <c r="CI222" s="27">
        <v>6</v>
      </c>
      <c r="CJ222" s="27">
        <f t="shared" si="59"/>
        <v>36</v>
      </c>
      <c r="CK222" s="27">
        <f t="shared" si="64"/>
        <v>161.24</v>
      </c>
      <c r="CL222" s="27" t="s">
        <v>257</v>
      </c>
      <c r="CM222" s="27" t="s">
        <v>137</v>
      </c>
      <c r="CN222" s="238"/>
      <c r="CO222" s="238"/>
      <c r="CP222" s="14"/>
      <c r="CQ222" s="14"/>
      <c r="CR222" s="14"/>
      <c r="CS222" s="14"/>
      <c r="CT222" s="14"/>
      <c r="CU222" s="14"/>
    </row>
    <row r="223" spans="1:99" s="106" customFormat="1" x14ac:dyDescent="0.25">
      <c r="A223" s="240">
        <v>41791</v>
      </c>
      <c r="B223" s="240"/>
      <c r="C223" s="214" t="s">
        <v>1062</v>
      </c>
      <c r="D223" s="212" t="s">
        <v>54</v>
      </c>
      <c r="E223" s="214" t="s">
        <v>439</v>
      </c>
      <c r="F223" s="214" t="s">
        <v>1063</v>
      </c>
      <c r="G223" s="214"/>
      <c r="H223" s="214"/>
      <c r="I223" s="214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3"/>
      <c r="AK223" s="223"/>
      <c r="AL223" s="223"/>
      <c r="AM223" s="223"/>
      <c r="AN223" s="223"/>
      <c r="AO223" s="223"/>
      <c r="AP223" s="223"/>
      <c r="AQ223" s="223"/>
      <c r="AR223" s="223" t="s">
        <v>1064</v>
      </c>
      <c r="AS223" s="223"/>
      <c r="AT223" s="223"/>
      <c r="AU223" s="223"/>
      <c r="AV223" s="223"/>
      <c r="AW223" s="223"/>
      <c r="AX223" s="223"/>
      <c r="AY223" s="223"/>
      <c r="AZ223" s="223"/>
      <c r="BA223" s="223"/>
      <c r="BB223" s="223"/>
      <c r="BC223" s="223"/>
      <c r="BD223" s="223"/>
      <c r="BE223" s="223"/>
      <c r="BF223" s="223"/>
      <c r="BG223" s="223"/>
      <c r="BH223" s="223"/>
      <c r="BI223" s="223"/>
      <c r="BJ223" s="223"/>
      <c r="BK223" s="32">
        <v>291.88</v>
      </c>
      <c r="BL223" s="233" t="s">
        <v>1065</v>
      </c>
      <c r="BM223" s="233" t="s">
        <v>1066</v>
      </c>
      <c r="BN223" s="233"/>
      <c r="BO223" s="233"/>
      <c r="BP223" s="233"/>
      <c r="BQ223" s="233"/>
      <c r="BR223" s="233"/>
      <c r="BS223" s="233"/>
      <c r="BT223" s="520" t="s">
        <v>356</v>
      </c>
      <c r="BU223" s="520"/>
      <c r="BV223" s="520"/>
      <c r="BW223" s="520"/>
      <c r="BX223" s="520"/>
      <c r="BY223" s="94">
        <v>15</v>
      </c>
      <c r="BZ223" s="94">
        <v>15</v>
      </c>
      <c r="CA223" s="94">
        <v>10.52</v>
      </c>
      <c r="CB223" s="92">
        <f t="shared" si="58"/>
        <v>1.3697916666666663</v>
      </c>
      <c r="CC223" s="94">
        <f>5.53+0.25</f>
        <v>5.78</v>
      </c>
      <c r="CD223" s="302"/>
      <c r="CE223" s="302"/>
      <c r="CF223" s="105"/>
      <c r="CG223" s="27">
        <v>1</v>
      </c>
      <c r="CH223" s="27">
        <v>6</v>
      </c>
      <c r="CI223" s="27">
        <v>3</v>
      </c>
      <c r="CJ223" s="27">
        <f t="shared" si="59"/>
        <v>18</v>
      </c>
      <c r="CK223" s="27">
        <f t="shared" si="64"/>
        <v>154.04</v>
      </c>
      <c r="CL223" s="27" t="s">
        <v>257</v>
      </c>
      <c r="CM223" s="27" t="s">
        <v>137</v>
      </c>
      <c r="CN223" s="254"/>
      <c r="CO223" s="238"/>
      <c r="CP223" s="14"/>
      <c r="CQ223" s="14"/>
      <c r="CR223" s="14"/>
      <c r="CS223" s="14"/>
      <c r="CT223" s="14"/>
      <c r="CU223" s="14"/>
    </row>
    <row r="224" spans="1:99" s="106" customFormat="1" x14ac:dyDescent="0.25">
      <c r="A224" s="240">
        <v>41791</v>
      </c>
      <c r="B224" s="240"/>
      <c r="C224" s="212">
        <v>1152</v>
      </c>
      <c r="D224" s="212" t="s">
        <v>54</v>
      </c>
      <c r="E224" s="214" t="s">
        <v>1067</v>
      </c>
      <c r="F224" s="32" t="s">
        <v>1068</v>
      </c>
      <c r="G224" s="32"/>
      <c r="H224" s="32"/>
      <c r="I224" s="32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  <c r="AC224" s="223"/>
      <c r="AD224" s="223"/>
      <c r="AE224" s="223"/>
      <c r="AF224" s="223"/>
      <c r="AG224" s="223"/>
      <c r="AH224" s="223"/>
      <c r="AI224" s="223"/>
      <c r="AJ224" s="223"/>
      <c r="AK224" s="223"/>
      <c r="AL224" s="223"/>
      <c r="AM224" s="223"/>
      <c r="AN224" s="223"/>
      <c r="AO224" s="223"/>
      <c r="AP224" s="223"/>
      <c r="AQ224" s="223"/>
      <c r="AR224" s="223"/>
      <c r="AS224" s="223"/>
      <c r="AT224" s="223"/>
      <c r="AU224" s="223"/>
      <c r="AV224" s="223"/>
      <c r="AW224" s="223"/>
      <c r="AX224" s="223"/>
      <c r="AY224" s="223"/>
      <c r="AZ224" s="223"/>
      <c r="BA224" s="223"/>
      <c r="BB224" s="223"/>
      <c r="BC224" s="223"/>
      <c r="BD224" s="223"/>
      <c r="BE224" s="223"/>
      <c r="BF224" s="223"/>
      <c r="BG224" s="223"/>
      <c r="BH224" s="223"/>
      <c r="BI224" s="223"/>
      <c r="BJ224" s="223"/>
      <c r="BK224" s="32"/>
      <c r="BL224" s="244" t="s">
        <v>1069</v>
      </c>
      <c r="BM224" s="244" t="s">
        <v>1070</v>
      </c>
      <c r="BN224" s="244"/>
      <c r="BO224" s="244"/>
      <c r="BP224" s="244"/>
      <c r="BQ224" s="244"/>
      <c r="BR224" s="244"/>
      <c r="BS224" s="244"/>
      <c r="BT224" s="521" t="s">
        <v>1071</v>
      </c>
      <c r="BU224" s="521"/>
      <c r="BV224" s="521"/>
      <c r="BW224" s="521"/>
      <c r="BX224" s="521"/>
      <c r="BY224" s="94">
        <v>9</v>
      </c>
      <c r="BZ224" s="94">
        <v>9</v>
      </c>
      <c r="CA224" s="94">
        <v>4.5</v>
      </c>
      <c r="CB224" s="92">
        <f t="shared" si="58"/>
        <v>0.2109375</v>
      </c>
      <c r="CC224" s="94">
        <v>0.5</v>
      </c>
      <c r="CD224" s="302"/>
      <c r="CE224" s="302"/>
      <c r="CF224" s="105" t="s">
        <v>135</v>
      </c>
      <c r="CG224" s="27">
        <v>6</v>
      </c>
      <c r="CH224" s="27">
        <v>10</v>
      </c>
      <c r="CI224" s="27">
        <v>10</v>
      </c>
      <c r="CJ224" s="27">
        <f t="shared" si="59"/>
        <v>600</v>
      </c>
      <c r="CK224" s="27">
        <f t="shared" si="64"/>
        <v>100</v>
      </c>
      <c r="CL224" s="255" t="s">
        <v>257</v>
      </c>
      <c r="CM224" s="27" t="s">
        <v>137</v>
      </c>
      <c r="CN224" s="254"/>
      <c r="CO224" s="238"/>
      <c r="CP224" s="14"/>
      <c r="CQ224" s="14"/>
      <c r="CR224" s="14"/>
      <c r="CS224" s="14"/>
      <c r="CT224" s="14"/>
      <c r="CU224" s="14"/>
    </row>
    <row r="225" spans="1:99" s="106" customFormat="1" ht="75" x14ac:dyDescent="0.25">
      <c r="A225" s="240">
        <v>41791</v>
      </c>
      <c r="B225" s="240"/>
      <c r="C225" s="223" t="s">
        <v>1072</v>
      </c>
      <c r="D225" s="212" t="s">
        <v>54</v>
      </c>
      <c r="E225" s="214" t="s">
        <v>1073</v>
      </c>
      <c r="F225" s="46" t="s">
        <v>1074</v>
      </c>
      <c r="G225" s="46"/>
      <c r="H225" s="46"/>
      <c r="I225" s="46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/>
      <c r="AA225" s="223"/>
      <c r="AB225" s="223"/>
      <c r="AC225" s="223"/>
      <c r="AD225" s="223"/>
      <c r="AE225" s="223"/>
      <c r="AF225" s="223"/>
      <c r="AG225" s="223"/>
      <c r="AH225" s="223"/>
      <c r="AI225" s="223"/>
      <c r="AJ225" s="223"/>
      <c r="AK225" s="223"/>
      <c r="AL225" s="223"/>
      <c r="AM225" s="223"/>
      <c r="AN225" s="223"/>
      <c r="AO225" s="223"/>
      <c r="AP225" s="223"/>
      <c r="AQ225" s="223"/>
      <c r="AR225" s="223"/>
      <c r="AS225" s="223"/>
      <c r="AT225" s="223"/>
      <c r="AU225" s="223"/>
      <c r="AV225" s="223"/>
      <c r="AW225" s="223"/>
      <c r="AX225" s="223"/>
      <c r="AY225" s="223"/>
      <c r="AZ225" s="223"/>
      <c r="BA225" s="223"/>
      <c r="BB225" s="223"/>
      <c r="BC225" s="223"/>
      <c r="BD225" s="223"/>
      <c r="BE225" s="223"/>
      <c r="BF225" s="223"/>
      <c r="BG225" s="223"/>
      <c r="BH225" s="223"/>
      <c r="BI225" s="223"/>
      <c r="BJ225" s="223"/>
      <c r="BK225" s="119">
        <v>35.29</v>
      </c>
      <c r="BL225" s="233" t="s">
        <v>1075</v>
      </c>
      <c r="BM225" s="233" t="s">
        <v>1076</v>
      </c>
      <c r="BN225" s="233"/>
      <c r="BO225" s="233"/>
      <c r="BP225" s="233"/>
      <c r="BQ225" s="233"/>
      <c r="BR225" s="233"/>
      <c r="BS225" s="233"/>
      <c r="BT225" s="521" t="s">
        <v>876</v>
      </c>
      <c r="BU225" s="521"/>
      <c r="BV225" s="521"/>
      <c r="BW225" s="521"/>
      <c r="BX225" s="521"/>
      <c r="BY225" s="94">
        <v>20.625</v>
      </c>
      <c r="BZ225" s="94">
        <v>14.625</v>
      </c>
      <c r="CA225" s="94">
        <v>5.9370000000000003</v>
      </c>
      <c r="CB225" s="92">
        <f t="shared" si="58"/>
        <v>1.036365966796875</v>
      </c>
      <c r="CC225" s="94">
        <f>1.2*CG225+0.25</f>
        <v>7.4499999999999993</v>
      </c>
      <c r="CD225" s="302"/>
      <c r="CE225" s="302"/>
      <c r="CF225" s="105" t="s">
        <v>135</v>
      </c>
      <c r="CG225" s="27">
        <v>6</v>
      </c>
      <c r="CH225" s="27">
        <v>6</v>
      </c>
      <c r="CI225" s="27">
        <v>6</v>
      </c>
      <c r="CJ225" s="27">
        <f t="shared" si="59"/>
        <v>216</v>
      </c>
      <c r="CK225" s="27">
        <f t="shared" si="64"/>
        <v>318.2</v>
      </c>
      <c r="CL225" s="27" t="s">
        <v>140</v>
      </c>
      <c r="CM225" s="27" t="s">
        <v>137</v>
      </c>
      <c r="CN225" s="254"/>
      <c r="CO225" s="238"/>
      <c r="CP225" s="14"/>
      <c r="CQ225" s="14"/>
      <c r="CR225" s="14"/>
      <c r="CS225" s="14"/>
      <c r="CT225" s="14"/>
      <c r="CU225" s="14"/>
    </row>
    <row r="226" spans="1:99" s="106" customFormat="1" x14ac:dyDescent="0.25">
      <c r="A226" s="240">
        <v>41791</v>
      </c>
      <c r="B226" s="240"/>
      <c r="C226" s="214" t="s">
        <v>1077</v>
      </c>
      <c r="D226" s="212" t="s">
        <v>54</v>
      </c>
      <c r="E226" s="214" t="s">
        <v>1078</v>
      </c>
      <c r="F226" s="41" t="s">
        <v>1079</v>
      </c>
      <c r="G226" s="41"/>
      <c r="H226" s="41"/>
      <c r="I226" s="41"/>
      <c r="J226" s="223" t="s">
        <v>895</v>
      </c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223"/>
      <c r="AK226" s="223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3"/>
      <c r="AY226" s="223"/>
      <c r="AZ226" s="223"/>
      <c r="BA226" s="223"/>
      <c r="BB226" s="223"/>
      <c r="BC226" s="223"/>
      <c r="BD226" s="223"/>
      <c r="BE226" s="223"/>
      <c r="BF226" s="223"/>
      <c r="BG226" s="223"/>
      <c r="BH226" s="223"/>
      <c r="BI226" s="223"/>
      <c r="BJ226" s="223"/>
      <c r="BK226" s="32">
        <v>95.66</v>
      </c>
      <c r="BL226" s="233" t="s">
        <v>1080</v>
      </c>
      <c r="BM226" s="233" t="s">
        <v>1081</v>
      </c>
      <c r="BN226" s="233"/>
      <c r="BO226" s="233"/>
      <c r="BP226" s="233"/>
      <c r="BQ226" s="233"/>
      <c r="BR226" s="233"/>
      <c r="BS226" s="233"/>
      <c r="BT226" s="520" t="s">
        <v>356</v>
      </c>
      <c r="BU226" s="520"/>
      <c r="BV226" s="520"/>
      <c r="BW226" s="520"/>
      <c r="BX226" s="520"/>
      <c r="BY226" s="94">
        <v>10.25</v>
      </c>
      <c r="BZ226" s="94">
        <v>7.75</v>
      </c>
      <c r="CA226" s="94">
        <v>10.5</v>
      </c>
      <c r="CB226" s="92">
        <f t="shared" si="58"/>
        <v>0.4826931423611111</v>
      </c>
      <c r="CC226" s="94">
        <f>1.32+1.54+1.04+1.25+0.4</f>
        <v>5.5500000000000007</v>
      </c>
      <c r="CD226" s="302"/>
      <c r="CE226" s="302"/>
      <c r="CF226" s="105" t="s">
        <v>135</v>
      </c>
      <c r="CG226" s="27">
        <v>1</v>
      </c>
      <c r="CH226" s="27">
        <v>22</v>
      </c>
      <c r="CI226" s="27">
        <v>4</v>
      </c>
      <c r="CJ226" s="27">
        <f>CG226*CH226*CI226</f>
        <v>88</v>
      </c>
      <c r="CK226" s="27">
        <f t="shared" si="64"/>
        <v>538.40000000000009</v>
      </c>
      <c r="CL226" s="27" t="s">
        <v>257</v>
      </c>
      <c r="CM226" s="27" t="s">
        <v>137</v>
      </c>
      <c r="CN226" s="254"/>
      <c r="CO226" s="238"/>
      <c r="CP226" s="14"/>
      <c r="CQ226" s="14"/>
      <c r="CR226" s="14"/>
      <c r="CS226" s="14"/>
      <c r="CT226" s="14"/>
      <c r="CU226" s="14"/>
    </row>
    <row r="227" spans="1:99" s="106" customFormat="1" ht="30" x14ac:dyDescent="0.25">
      <c r="A227" s="240">
        <v>41782</v>
      </c>
      <c r="B227" s="240"/>
      <c r="C227" s="223" t="s">
        <v>1082</v>
      </c>
      <c r="D227" s="212" t="s">
        <v>54</v>
      </c>
      <c r="E227" s="214" t="s">
        <v>487</v>
      </c>
      <c r="F227" s="46" t="s">
        <v>1083</v>
      </c>
      <c r="G227" s="46"/>
      <c r="H227" s="46"/>
      <c r="I227" s="46"/>
      <c r="J227" s="176" t="s">
        <v>706</v>
      </c>
      <c r="K227" s="31" t="s">
        <v>1084</v>
      </c>
      <c r="L227" s="31"/>
      <c r="M227" s="31"/>
      <c r="N227" s="25"/>
      <c r="O227" s="26"/>
      <c r="P227" s="237"/>
      <c r="Q227" s="237"/>
      <c r="R227" s="237"/>
      <c r="S227" s="237"/>
      <c r="T227" s="237"/>
      <c r="U227" s="237"/>
      <c r="V227" s="237"/>
      <c r="W227" s="237"/>
      <c r="X227" s="237"/>
      <c r="Y227" s="237"/>
      <c r="Z227" s="237"/>
      <c r="AA227" s="237"/>
      <c r="AB227" s="237"/>
      <c r="AC227" s="237"/>
      <c r="AD227" s="237"/>
      <c r="AE227" s="237"/>
      <c r="AF227" s="237"/>
      <c r="AG227" s="237"/>
      <c r="AH227" s="237"/>
      <c r="AI227" s="237"/>
      <c r="AJ227" s="237"/>
      <c r="AK227" s="237"/>
      <c r="AL227" s="237"/>
      <c r="AM227" s="237"/>
      <c r="AN227" s="256"/>
      <c r="AO227" s="256"/>
      <c r="AP227" s="25"/>
      <c r="AQ227" s="256"/>
      <c r="AR227" s="257"/>
      <c r="AS227" s="256"/>
      <c r="AT227" s="257"/>
      <c r="AU227" s="232"/>
      <c r="AV227" s="212"/>
      <c r="AW227" s="212"/>
      <c r="AX227" s="212"/>
      <c r="AY227" s="212"/>
      <c r="AZ227" s="212"/>
      <c r="BA227" s="212"/>
      <c r="BB227" s="212"/>
      <c r="BC227" s="212"/>
      <c r="BD227" s="223"/>
      <c r="BE227" s="212"/>
      <c r="BF227" s="212"/>
      <c r="BG227" s="212"/>
      <c r="BH227" s="212"/>
      <c r="BI227" s="212"/>
      <c r="BJ227" s="212"/>
      <c r="BK227" s="119">
        <v>78.75</v>
      </c>
      <c r="BL227" s="233" t="s">
        <v>1085</v>
      </c>
      <c r="BM227" s="233" t="s">
        <v>1086</v>
      </c>
      <c r="BN227" s="233"/>
      <c r="BO227" s="233"/>
      <c r="BP227" s="233"/>
      <c r="BQ227" s="233"/>
      <c r="BR227" s="233"/>
      <c r="BS227" s="233"/>
      <c r="BT227" s="93" t="s">
        <v>356</v>
      </c>
      <c r="BU227" s="93"/>
      <c r="BV227" s="93"/>
      <c r="BW227" s="93"/>
      <c r="BX227" s="93"/>
      <c r="BY227" s="94">
        <v>5.13</v>
      </c>
      <c r="BZ227" s="94">
        <v>5.13</v>
      </c>
      <c r="CA227" s="94">
        <v>9.25</v>
      </c>
      <c r="CB227" s="92">
        <f t="shared" si="58"/>
        <v>0.14087460937499999</v>
      </c>
      <c r="CC227" s="94">
        <f>0.9+0.25</f>
        <v>1.1499999999999999</v>
      </c>
      <c r="CD227" s="302"/>
      <c r="CE227" s="302"/>
      <c r="CF227" s="105" t="s">
        <v>135</v>
      </c>
      <c r="CG227" s="27">
        <v>1</v>
      </c>
      <c r="CH227" s="27">
        <v>48</v>
      </c>
      <c r="CI227" s="27">
        <v>3</v>
      </c>
      <c r="CJ227" s="27">
        <f t="shared" ref="CJ227:CJ233" si="65">CG227*CH227*CI227</f>
        <v>144</v>
      </c>
      <c r="CK227" s="27">
        <f t="shared" si="64"/>
        <v>215.6</v>
      </c>
      <c r="CL227" s="27" t="s">
        <v>257</v>
      </c>
      <c r="CM227" s="27"/>
      <c r="CN227" s="238"/>
      <c r="CO227" s="238"/>
      <c r="CP227" s="14"/>
      <c r="CQ227" s="14"/>
      <c r="CR227" s="14"/>
      <c r="CS227" s="14"/>
      <c r="CT227" s="14"/>
      <c r="CU227" s="14"/>
    </row>
    <row r="228" spans="1:99" s="106" customFormat="1" x14ac:dyDescent="0.25">
      <c r="A228" s="240">
        <v>41782</v>
      </c>
      <c r="B228" s="240"/>
      <c r="C228" s="223" t="s">
        <v>1087</v>
      </c>
      <c r="D228" s="212" t="s">
        <v>54</v>
      </c>
      <c r="E228" s="214" t="s">
        <v>487</v>
      </c>
      <c r="F228" s="46" t="s">
        <v>1088</v>
      </c>
      <c r="G228" s="46"/>
      <c r="H228" s="46"/>
      <c r="I228" s="46"/>
      <c r="J228" s="176" t="s">
        <v>1089</v>
      </c>
      <c r="K228" s="31">
        <v>230029</v>
      </c>
      <c r="L228" s="31"/>
      <c r="M228" s="31"/>
      <c r="N228" s="25"/>
      <c r="O228" s="26"/>
      <c r="P228" s="237"/>
      <c r="Q228" s="237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/>
      <c r="AB228" s="237"/>
      <c r="AC228" s="237"/>
      <c r="AD228" s="237"/>
      <c r="AE228" s="237"/>
      <c r="AF228" s="237"/>
      <c r="AG228" s="237"/>
      <c r="AH228" s="237"/>
      <c r="AI228" s="237"/>
      <c r="AJ228" s="237"/>
      <c r="AK228" s="237"/>
      <c r="AL228" s="237"/>
      <c r="AM228" s="237"/>
      <c r="AN228" s="256"/>
      <c r="AO228" s="256"/>
      <c r="AP228" s="25"/>
      <c r="AQ228" s="256"/>
      <c r="AR228" s="257"/>
      <c r="AS228" s="256"/>
      <c r="AT228" s="257" t="s">
        <v>1090</v>
      </c>
      <c r="AU228" s="232"/>
      <c r="AV228" s="212"/>
      <c r="AW228" s="212"/>
      <c r="AX228" s="212"/>
      <c r="AY228" s="212"/>
      <c r="AZ228" s="212"/>
      <c r="BA228" s="212"/>
      <c r="BB228" s="212"/>
      <c r="BC228" s="212"/>
      <c r="BD228" s="223"/>
      <c r="BE228" s="212"/>
      <c r="BF228" s="212"/>
      <c r="BG228" s="212"/>
      <c r="BH228" s="212"/>
      <c r="BI228" s="212"/>
      <c r="BJ228" s="212"/>
      <c r="BK228" s="119">
        <v>20.190000000000001</v>
      </c>
      <c r="BL228" s="244" t="s">
        <v>1091</v>
      </c>
      <c r="BM228" s="244" t="s">
        <v>1092</v>
      </c>
      <c r="BN228" s="244"/>
      <c r="BO228" s="244"/>
      <c r="BP228" s="244"/>
      <c r="BQ228" s="244"/>
      <c r="BR228" s="244"/>
      <c r="BS228" s="244"/>
      <c r="BT228" s="94" t="s">
        <v>876</v>
      </c>
      <c r="BU228" s="95"/>
      <c r="BV228" s="95"/>
      <c r="BW228" s="95"/>
      <c r="BX228" s="95"/>
      <c r="BY228" s="94">
        <v>15.81</v>
      </c>
      <c r="BZ228" s="94">
        <v>11.93</v>
      </c>
      <c r="CA228" s="94">
        <v>5.0599999999999996</v>
      </c>
      <c r="CB228" s="92">
        <f t="shared" si="58"/>
        <v>0.55230514930555552</v>
      </c>
      <c r="CC228" s="94">
        <f>0.38*CG228+0.25</f>
        <v>4.8100000000000005</v>
      </c>
      <c r="CD228" s="302"/>
      <c r="CE228" s="302"/>
      <c r="CF228" s="105" t="s">
        <v>135</v>
      </c>
      <c r="CG228" s="27">
        <v>12</v>
      </c>
      <c r="CH228" s="27">
        <v>10</v>
      </c>
      <c r="CI228" s="27">
        <v>7</v>
      </c>
      <c r="CJ228" s="27">
        <f t="shared" si="65"/>
        <v>840</v>
      </c>
      <c r="CK228" s="27">
        <f t="shared" si="64"/>
        <v>386.70000000000005</v>
      </c>
      <c r="CL228" s="27" t="s">
        <v>257</v>
      </c>
      <c r="CM228" s="27" t="s">
        <v>137</v>
      </c>
      <c r="CN228" s="238"/>
      <c r="CO228" s="238"/>
      <c r="CP228" s="14"/>
      <c r="CQ228" s="14"/>
      <c r="CR228" s="14"/>
      <c r="CS228" s="14"/>
      <c r="CT228" s="14"/>
      <c r="CU228" s="14"/>
    </row>
    <row r="229" spans="1:99" s="106" customFormat="1" x14ac:dyDescent="0.25">
      <c r="A229" s="240">
        <v>41782</v>
      </c>
      <c r="B229" s="240"/>
      <c r="C229" s="214" t="s">
        <v>1093</v>
      </c>
      <c r="D229" s="212" t="s">
        <v>54</v>
      </c>
      <c r="E229" s="214" t="s">
        <v>1073</v>
      </c>
      <c r="F229" s="236" t="s">
        <v>1094</v>
      </c>
      <c r="G229" s="236"/>
      <c r="H229" s="236"/>
      <c r="I229" s="236"/>
      <c r="J229" s="31" t="s">
        <v>879</v>
      </c>
      <c r="K229" s="31">
        <v>300110625</v>
      </c>
      <c r="L229" s="31" t="s">
        <v>1095</v>
      </c>
      <c r="M229" s="31">
        <v>232006</v>
      </c>
      <c r="N229" s="25" t="s">
        <v>740</v>
      </c>
      <c r="O229" s="26">
        <v>23538565</v>
      </c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237"/>
      <c r="AC229" s="237"/>
      <c r="AD229" s="237"/>
      <c r="AE229" s="237"/>
      <c r="AF229" s="237"/>
      <c r="AG229" s="237"/>
      <c r="AH229" s="237"/>
      <c r="AI229" s="237"/>
      <c r="AJ229" s="237"/>
      <c r="AK229" s="237"/>
      <c r="AL229" s="237"/>
      <c r="AM229" s="237"/>
      <c r="AN229" s="256" t="s">
        <v>1096</v>
      </c>
      <c r="AO229" s="256"/>
      <c r="AP229" s="25">
        <v>86661</v>
      </c>
      <c r="AQ229" s="256"/>
      <c r="AR229" s="257" t="s">
        <v>1097</v>
      </c>
      <c r="AS229" s="256"/>
      <c r="AT229" s="257" t="s">
        <v>1098</v>
      </c>
      <c r="AU229" s="232" t="s">
        <v>1099</v>
      </c>
      <c r="AV229" s="212"/>
      <c r="AW229" s="212"/>
      <c r="AX229" s="212"/>
      <c r="AY229" s="212"/>
      <c r="AZ229" s="212"/>
      <c r="BA229" s="212"/>
      <c r="BB229" s="212"/>
      <c r="BC229" s="212"/>
      <c r="BD229" s="223">
        <v>3661</v>
      </c>
      <c r="BE229" s="212"/>
      <c r="BF229" s="212"/>
      <c r="BG229" s="212"/>
      <c r="BH229" s="212"/>
      <c r="BI229" s="212"/>
      <c r="BJ229" s="212">
        <v>33661</v>
      </c>
      <c r="BK229" s="119">
        <v>17.2</v>
      </c>
      <c r="BL229" s="233" t="s">
        <v>1100</v>
      </c>
      <c r="BM229" s="233" t="s">
        <v>1101</v>
      </c>
      <c r="BN229" s="233"/>
      <c r="BO229" s="233"/>
      <c r="BP229" s="233"/>
      <c r="BQ229" s="233"/>
      <c r="BR229" s="233"/>
      <c r="BS229" s="233"/>
      <c r="BT229" s="94">
        <v>3.8479999999999999</v>
      </c>
      <c r="BU229" s="94">
        <v>3.8479999999999999</v>
      </c>
      <c r="BV229" s="94">
        <v>5.4470000000000001</v>
      </c>
      <c r="BW229" s="92">
        <f>(BV229*BU229*BT229)/1728</f>
        <v>4.6674939518518511E-2</v>
      </c>
      <c r="BX229" s="94">
        <v>0.46200000000000002</v>
      </c>
      <c r="BY229" s="94">
        <v>15.81</v>
      </c>
      <c r="BZ229" s="94">
        <v>11.93</v>
      </c>
      <c r="CA229" s="94">
        <v>6</v>
      </c>
      <c r="CB229" s="92">
        <f t="shared" si="58"/>
        <v>0.65490729166666672</v>
      </c>
      <c r="CC229" s="94">
        <f>0.462*CG229+0.25</f>
        <v>5.7940000000000005</v>
      </c>
      <c r="CD229" s="302"/>
      <c r="CE229" s="302"/>
      <c r="CF229" s="105" t="s">
        <v>135</v>
      </c>
      <c r="CG229" s="27">
        <v>12</v>
      </c>
      <c r="CH229" s="27">
        <v>10</v>
      </c>
      <c r="CI229" s="27">
        <v>7</v>
      </c>
      <c r="CJ229" s="27">
        <f t="shared" si="65"/>
        <v>840</v>
      </c>
      <c r="CK229" s="27">
        <f t="shared" si="64"/>
        <v>455.58000000000004</v>
      </c>
      <c r="CL229" s="27" t="s">
        <v>257</v>
      </c>
      <c r="CM229" s="27" t="s">
        <v>137</v>
      </c>
      <c r="CN229" s="238"/>
      <c r="CO229" s="238"/>
      <c r="CP229" s="14"/>
      <c r="CQ229" s="14"/>
      <c r="CR229" s="14"/>
      <c r="CS229" s="14"/>
      <c r="CT229" s="14"/>
      <c r="CU229" s="14"/>
    </row>
    <row r="230" spans="1:99" s="106" customFormat="1" ht="30" x14ac:dyDescent="0.25">
      <c r="A230" s="240">
        <v>41782</v>
      </c>
      <c r="B230" s="240"/>
      <c r="C230" s="214" t="s">
        <v>1102</v>
      </c>
      <c r="D230" s="212" t="s">
        <v>54</v>
      </c>
      <c r="E230" s="214" t="s">
        <v>439</v>
      </c>
      <c r="F230" s="236" t="s">
        <v>1103</v>
      </c>
      <c r="G230" s="236"/>
      <c r="H230" s="236"/>
      <c r="I230" s="236"/>
      <c r="J230" s="31" t="s">
        <v>8</v>
      </c>
      <c r="K230" s="31" t="s">
        <v>1104</v>
      </c>
      <c r="L230" s="31"/>
      <c r="M230" s="31"/>
      <c r="N230" s="25"/>
      <c r="O230" s="26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  <c r="AC230" s="237"/>
      <c r="AD230" s="237"/>
      <c r="AE230" s="237"/>
      <c r="AF230" s="237"/>
      <c r="AG230" s="237"/>
      <c r="AH230" s="237"/>
      <c r="AI230" s="237"/>
      <c r="AJ230" s="237"/>
      <c r="AK230" s="237"/>
      <c r="AL230" s="237"/>
      <c r="AM230" s="237"/>
      <c r="AN230" s="256"/>
      <c r="AO230" s="256"/>
      <c r="AP230" s="25"/>
      <c r="AQ230" s="256"/>
      <c r="AR230" s="257" t="s">
        <v>1104</v>
      </c>
      <c r="AS230" s="256"/>
      <c r="AT230" s="257"/>
      <c r="AU230" s="232"/>
      <c r="AV230" s="212"/>
      <c r="AW230" s="212"/>
      <c r="AX230" s="212"/>
      <c r="AY230" s="212"/>
      <c r="AZ230" s="212"/>
      <c r="BA230" s="212"/>
      <c r="BB230" s="212"/>
      <c r="BC230" s="212"/>
      <c r="BD230" s="223"/>
      <c r="BE230" s="212"/>
      <c r="BF230" s="212"/>
      <c r="BG230" s="212"/>
      <c r="BH230" s="212"/>
      <c r="BI230" s="212"/>
      <c r="BJ230" s="212"/>
      <c r="BK230" s="119">
        <v>290.89999999999998</v>
      </c>
      <c r="BL230" s="244" t="s">
        <v>1105</v>
      </c>
      <c r="BM230" s="244" t="s">
        <v>1106</v>
      </c>
      <c r="BN230" s="244"/>
      <c r="BO230" s="244"/>
      <c r="BP230" s="244"/>
      <c r="BQ230" s="244"/>
      <c r="BR230" s="244"/>
      <c r="BS230" s="244"/>
      <c r="BT230" s="93" t="s">
        <v>356</v>
      </c>
      <c r="BU230" s="93"/>
      <c r="BV230" s="93"/>
      <c r="BW230" s="93"/>
      <c r="BX230" s="93"/>
      <c r="BY230" s="94">
        <v>13.25</v>
      </c>
      <c r="BZ230" s="94">
        <v>13.25</v>
      </c>
      <c r="CA230" s="94">
        <v>26.59</v>
      </c>
      <c r="CB230" s="92">
        <f t="shared" si="58"/>
        <v>2.7015086082175923</v>
      </c>
      <c r="CC230" s="94">
        <f>10.92+0.25</f>
        <v>11.17</v>
      </c>
      <c r="CD230" s="302"/>
      <c r="CE230" s="302"/>
      <c r="CF230" s="105" t="s">
        <v>135</v>
      </c>
      <c r="CG230" s="27">
        <v>1</v>
      </c>
      <c r="CH230" s="27">
        <v>6</v>
      </c>
      <c r="CI230" s="27">
        <v>1</v>
      </c>
      <c r="CJ230" s="27">
        <f t="shared" si="65"/>
        <v>6</v>
      </c>
      <c r="CK230" s="27">
        <f t="shared" si="64"/>
        <v>117.02</v>
      </c>
      <c r="CL230" s="27" t="s">
        <v>257</v>
      </c>
      <c r="CM230" s="27" t="s">
        <v>137</v>
      </c>
      <c r="CN230" s="238"/>
      <c r="CO230" s="238"/>
      <c r="CP230" s="14"/>
      <c r="CQ230" s="14"/>
      <c r="CR230" s="14"/>
      <c r="CS230" s="14"/>
      <c r="CT230" s="14"/>
      <c r="CU230" s="14"/>
    </row>
    <row r="231" spans="1:99" s="106" customFormat="1" ht="30" x14ac:dyDescent="0.25">
      <c r="A231" s="240">
        <v>41782</v>
      </c>
      <c r="B231" s="240"/>
      <c r="C231" s="223" t="s">
        <v>1107</v>
      </c>
      <c r="D231" s="212" t="s">
        <v>54</v>
      </c>
      <c r="E231" s="214" t="s">
        <v>439</v>
      </c>
      <c r="F231" s="46" t="s">
        <v>1108</v>
      </c>
      <c r="G231" s="46"/>
      <c r="H231" s="46"/>
      <c r="I231" s="46"/>
      <c r="J231" s="176" t="s">
        <v>8</v>
      </c>
      <c r="K231" s="31" t="s">
        <v>1109</v>
      </c>
      <c r="L231" s="31"/>
      <c r="M231" s="31"/>
      <c r="N231" s="25"/>
      <c r="O231" s="26"/>
      <c r="P231" s="237"/>
      <c r="Q231" s="237"/>
      <c r="R231" s="237"/>
      <c r="S231" s="237"/>
      <c r="T231" s="237"/>
      <c r="U231" s="237"/>
      <c r="V231" s="237"/>
      <c r="W231" s="237"/>
      <c r="X231" s="237"/>
      <c r="Y231" s="237"/>
      <c r="Z231" s="237"/>
      <c r="AA231" s="237"/>
      <c r="AB231" s="237"/>
      <c r="AC231" s="237"/>
      <c r="AD231" s="237"/>
      <c r="AE231" s="237"/>
      <c r="AF231" s="237"/>
      <c r="AG231" s="237"/>
      <c r="AH231" s="237"/>
      <c r="AI231" s="237"/>
      <c r="AJ231" s="237"/>
      <c r="AK231" s="237"/>
      <c r="AL231" s="237"/>
      <c r="AM231" s="237"/>
      <c r="AN231" s="256"/>
      <c r="AO231" s="256"/>
      <c r="AP231" s="25"/>
      <c r="AQ231" s="256"/>
      <c r="AR231" s="31" t="s">
        <v>1109</v>
      </c>
      <c r="AS231" s="256"/>
      <c r="AT231" s="257"/>
      <c r="AU231" s="232"/>
      <c r="AV231" s="212"/>
      <c r="AW231" s="212"/>
      <c r="AX231" s="212"/>
      <c r="AY231" s="212"/>
      <c r="AZ231" s="212"/>
      <c r="BA231" s="212"/>
      <c r="BB231" s="212"/>
      <c r="BC231" s="212"/>
      <c r="BD231" s="223"/>
      <c r="BE231" s="212"/>
      <c r="BF231" s="212"/>
      <c r="BG231" s="212"/>
      <c r="BH231" s="212"/>
      <c r="BI231" s="212"/>
      <c r="BJ231" s="212"/>
      <c r="BK231" s="119">
        <v>347.53</v>
      </c>
      <c r="BL231" s="212"/>
      <c r="BM231" s="212"/>
      <c r="BN231" s="212"/>
      <c r="BO231" s="212"/>
      <c r="BP231" s="212"/>
      <c r="BQ231" s="212"/>
      <c r="BR231" s="212"/>
      <c r="BS231" s="212"/>
      <c r="BT231" s="93" t="s">
        <v>356</v>
      </c>
      <c r="BU231" s="93"/>
      <c r="BV231" s="93"/>
      <c r="BW231" s="93"/>
      <c r="BX231" s="93"/>
      <c r="BY231" s="94">
        <v>19.25</v>
      </c>
      <c r="BZ231" s="94">
        <v>8.6</v>
      </c>
      <c r="CA231" s="94">
        <v>12.5</v>
      </c>
      <c r="CB231" s="92">
        <f t="shared" si="58"/>
        <v>1.1975549768518519</v>
      </c>
      <c r="CC231" s="94">
        <f>5.51+0.25</f>
        <v>5.76</v>
      </c>
      <c r="CD231" s="302"/>
      <c r="CE231" s="302"/>
      <c r="CF231" s="105" t="s">
        <v>135</v>
      </c>
      <c r="CG231" s="27">
        <v>1</v>
      </c>
      <c r="CH231" s="27">
        <v>10</v>
      </c>
      <c r="CI231" s="27">
        <v>3</v>
      </c>
      <c r="CJ231" s="27">
        <f t="shared" si="65"/>
        <v>30</v>
      </c>
      <c r="CK231" s="27">
        <f t="shared" si="64"/>
        <v>222.79999999999998</v>
      </c>
      <c r="CL231" s="27" t="s">
        <v>257</v>
      </c>
      <c r="CM231" s="27"/>
      <c r="CN231" s="238"/>
      <c r="CO231" s="238"/>
      <c r="CP231" s="14"/>
      <c r="CQ231" s="14"/>
      <c r="CR231" s="14"/>
      <c r="CS231" s="14"/>
      <c r="CT231" s="14"/>
      <c r="CU231" s="14"/>
    </row>
    <row r="232" spans="1:99" s="106" customFormat="1" ht="30" x14ac:dyDescent="0.25">
      <c r="A232" s="240">
        <v>41782</v>
      </c>
      <c r="B232" s="240"/>
      <c r="C232" s="223" t="s">
        <v>74</v>
      </c>
      <c r="D232" s="212" t="s">
        <v>54</v>
      </c>
      <c r="E232" s="214" t="s">
        <v>439</v>
      </c>
      <c r="F232" s="46" t="s">
        <v>1110</v>
      </c>
      <c r="G232" s="46"/>
      <c r="H232" s="46"/>
      <c r="I232" s="46"/>
      <c r="J232" s="176" t="s">
        <v>8</v>
      </c>
      <c r="K232" s="31" t="s">
        <v>1111</v>
      </c>
      <c r="L232" s="31"/>
      <c r="M232" s="31"/>
      <c r="N232" s="25"/>
      <c r="O232" s="26"/>
      <c r="P232" s="237"/>
      <c r="Q232" s="237"/>
      <c r="R232" s="237"/>
      <c r="S232" s="237"/>
      <c r="T232" s="237"/>
      <c r="U232" s="237"/>
      <c r="V232" s="237"/>
      <c r="W232" s="237"/>
      <c r="X232" s="237"/>
      <c r="Y232" s="237"/>
      <c r="Z232" s="237"/>
      <c r="AA232" s="237"/>
      <c r="AB232" s="237"/>
      <c r="AC232" s="237"/>
      <c r="AD232" s="237"/>
      <c r="AE232" s="237"/>
      <c r="AF232" s="237"/>
      <c r="AG232" s="237"/>
      <c r="AH232" s="237"/>
      <c r="AI232" s="237"/>
      <c r="AJ232" s="237"/>
      <c r="AK232" s="237"/>
      <c r="AL232" s="237"/>
      <c r="AM232" s="237"/>
      <c r="AN232" s="256"/>
      <c r="AO232" s="256"/>
      <c r="AP232" s="25"/>
      <c r="AQ232" s="256"/>
      <c r="AR232" s="31" t="s">
        <v>1111</v>
      </c>
      <c r="AS232" s="256"/>
      <c r="AT232" s="257"/>
      <c r="AU232" s="232"/>
      <c r="AV232" s="212"/>
      <c r="AW232" s="212"/>
      <c r="AX232" s="212"/>
      <c r="AY232" s="212"/>
      <c r="AZ232" s="212"/>
      <c r="BA232" s="212"/>
      <c r="BB232" s="212"/>
      <c r="BC232" s="212"/>
      <c r="BD232" s="223"/>
      <c r="BE232" s="212"/>
      <c r="BF232" s="212"/>
      <c r="BG232" s="212"/>
      <c r="BH232" s="212"/>
      <c r="BI232" s="212"/>
      <c r="BJ232" s="212"/>
      <c r="BK232" s="119">
        <v>268.5</v>
      </c>
      <c r="BL232" s="233" t="s">
        <v>1112</v>
      </c>
      <c r="BM232" s="233" t="s">
        <v>1113</v>
      </c>
      <c r="BN232" s="233"/>
      <c r="BO232" s="233"/>
      <c r="BP232" s="233"/>
      <c r="BQ232" s="233"/>
      <c r="BR232" s="233"/>
      <c r="BS232" s="233"/>
      <c r="BT232" s="93" t="s">
        <v>356</v>
      </c>
      <c r="BU232" s="93"/>
      <c r="BV232" s="93"/>
      <c r="BW232" s="93"/>
      <c r="BX232" s="93"/>
      <c r="BY232" s="94">
        <v>11.505000000000001</v>
      </c>
      <c r="BZ232" s="94">
        <v>11.505000000000001</v>
      </c>
      <c r="CA232" s="94">
        <v>24.63</v>
      </c>
      <c r="CB232" s="92">
        <f t="shared" si="58"/>
        <v>1.8866612070312501</v>
      </c>
      <c r="CC232" s="94">
        <f>7.84+0.4</f>
        <v>8.24</v>
      </c>
      <c r="CD232" s="302"/>
      <c r="CE232" s="302"/>
      <c r="CF232" s="105" t="s">
        <v>135</v>
      </c>
      <c r="CG232" s="27">
        <v>1</v>
      </c>
      <c r="CH232" s="27">
        <v>6</v>
      </c>
      <c r="CI232" s="27">
        <v>1</v>
      </c>
      <c r="CJ232" s="27">
        <f t="shared" si="65"/>
        <v>6</v>
      </c>
      <c r="CK232" s="27">
        <f t="shared" si="64"/>
        <v>99.44</v>
      </c>
      <c r="CL232" s="27" t="s">
        <v>257</v>
      </c>
      <c r="CM232" s="27"/>
      <c r="CN232" s="238"/>
      <c r="CO232" s="238"/>
      <c r="CP232" s="14"/>
      <c r="CQ232" s="14"/>
      <c r="CR232" s="14"/>
      <c r="CS232" s="14"/>
      <c r="CT232" s="14"/>
      <c r="CU232" s="14"/>
    </row>
    <row r="233" spans="1:99" s="106" customFormat="1" ht="30" x14ac:dyDescent="0.25">
      <c r="A233" s="240">
        <v>41782</v>
      </c>
      <c r="B233" s="240"/>
      <c r="C233" s="213" t="s">
        <v>1114</v>
      </c>
      <c r="D233" s="212" t="s">
        <v>54</v>
      </c>
      <c r="E233" s="258" t="s">
        <v>1115</v>
      </c>
      <c r="F233" s="46" t="s">
        <v>1116</v>
      </c>
      <c r="G233" s="46"/>
      <c r="H233" s="46"/>
      <c r="I233" s="46"/>
      <c r="J233" s="223" t="s">
        <v>644</v>
      </c>
      <c r="K233" s="212">
        <v>925837</v>
      </c>
      <c r="L233" s="163" t="s">
        <v>1117</v>
      </c>
      <c r="M233" s="25">
        <v>757051</v>
      </c>
      <c r="N233" s="163" t="s">
        <v>1117</v>
      </c>
      <c r="O233" s="25">
        <v>7559101</v>
      </c>
      <c r="P233" s="25" t="s">
        <v>1118</v>
      </c>
      <c r="Q233" s="212" t="s">
        <v>1119</v>
      </c>
      <c r="R233" s="212" t="s">
        <v>644</v>
      </c>
      <c r="S233" s="212">
        <v>925836</v>
      </c>
      <c r="T233" s="237"/>
      <c r="U233" s="237"/>
      <c r="V233" s="237"/>
      <c r="W233" s="237"/>
      <c r="X233" s="237"/>
      <c r="Y233" s="237"/>
      <c r="Z233" s="237"/>
      <c r="AA233" s="237"/>
      <c r="AB233" s="237"/>
      <c r="AC233" s="237"/>
      <c r="AD233" s="237"/>
      <c r="AE233" s="237"/>
      <c r="AF233" s="237"/>
      <c r="AG233" s="237"/>
      <c r="AH233" s="237"/>
      <c r="AI233" s="237"/>
      <c r="AJ233" s="237"/>
      <c r="AK233" s="237"/>
      <c r="AL233" s="237"/>
      <c r="AM233" s="237"/>
      <c r="AN233" s="256" t="s">
        <v>1120</v>
      </c>
      <c r="AO233" s="256"/>
      <c r="AP233" s="25">
        <v>84888</v>
      </c>
      <c r="AQ233" s="256"/>
      <c r="AR233" s="257" t="s">
        <v>1121</v>
      </c>
      <c r="AS233" s="256"/>
      <c r="AT233" s="257" t="s">
        <v>1122</v>
      </c>
      <c r="AU233" s="232"/>
      <c r="AV233" s="212"/>
      <c r="AW233" s="212"/>
      <c r="AX233" s="212"/>
      <c r="AY233" s="212"/>
      <c r="AZ233" s="212"/>
      <c r="BA233" s="212"/>
      <c r="BB233" s="212"/>
      <c r="BC233" s="212"/>
      <c r="BD233" s="223">
        <v>7888</v>
      </c>
      <c r="BE233" s="212"/>
      <c r="BF233" s="212"/>
      <c r="BG233" s="212"/>
      <c r="BH233" s="212"/>
      <c r="BI233" s="212"/>
      <c r="BJ233" s="212">
        <v>57888</v>
      </c>
      <c r="BK233" s="119">
        <v>164.76</v>
      </c>
      <c r="BL233" s="244" t="s">
        <v>1123</v>
      </c>
      <c r="BM233" s="244" t="s">
        <v>1124</v>
      </c>
      <c r="BN233" s="244"/>
      <c r="BO233" s="244"/>
      <c r="BP233" s="244"/>
      <c r="BQ233" s="244"/>
      <c r="BR233" s="244"/>
      <c r="BS233" s="244"/>
      <c r="BT233" s="94" t="s">
        <v>876</v>
      </c>
      <c r="BU233" s="95"/>
      <c r="BV233" s="95"/>
      <c r="BW233" s="95"/>
      <c r="BX233" s="95"/>
      <c r="BY233" s="221">
        <v>3.5</v>
      </c>
      <c r="BZ233" s="221">
        <v>3.5</v>
      </c>
      <c r="CA233" s="221">
        <v>10.25</v>
      </c>
      <c r="CB233" s="92">
        <f t="shared" si="58"/>
        <v>7.2663483796296294E-2</v>
      </c>
      <c r="CC233" s="221">
        <f>0.8*CG233+0.4</f>
        <v>10.000000000000002</v>
      </c>
      <c r="CD233" s="303"/>
      <c r="CE233" s="303"/>
      <c r="CF233" s="212" t="s">
        <v>135</v>
      </c>
      <c r="CG233" s="213">
        <v>12</v>
      </c>
      <c r="CH233" s="213">
        <v>9</v>
      </c>
      <c r="CI233" s="213">
        <v>4</v>
      </c>
      <c r="CJ233" s="27">
        <f t="shared" si="65"/>
        <v>432</v>
      </c>
      <c r="CK233" s="27">
        <f t="shared" si="64"/>
        <v>410.00000000000006</v>
      </c>
      <c r="CL233" s="27" t="s">
        <v>257</v>
      </c>
      <c r="CM233" s="27" t="s">
        <v>137</v>
      </c>
      <c r="CN233" s="238"/>
      <c r="CO233" s="238"/>
      <c r="CP233" s="14"/>
      <c r="CQ233" s="14"/>
      <c r="CR233" s="14"/>
      <c r="CS233" s="14"/>
      <c r="CT233" s="14"/>
      <c r="CU233" s="14"/>
    </row>
    <row r="234" spans="1:99" s="106" customFormat="1" x14ac:dyDescent="0.25">
      <c r="A234" s="240">
        <v>41782</v>
      </c>
      <c r="B234" s="240"/>
      <c r="C234" s="214" t="s">
        <v>1125</v>
      </c>
      <c r="D234" s="212" t="s">
        <v>54</v>
      </c>
      <c r="E234" s="214" t="s">
        <v>1078</v>
      </c>
      <c r="F234" s="41" t="s">
        <v>1126</v>
      </c>
      <c r="G234" s="41"/>
      <c r="H234" s="41"/>
      <c r="I234" s="41"/>
      <c r="J234" s="176"/>
      <c r="K234" s="31"/>
      <c r="L234" s="31"/>
      <c r="M234" s="31"/>
      <c r="N234" s="25"/>
      <c r="O234" s="26"/>
      <c r="P234" s="237"/>
      <c r="Q234" s="237"/>
      <c r="R234" s="237"/>
      <c r="S234" s="237"/>
      <c r="T234" s="237"/>
      <c r="U234" s="237"/>
      <c r="V234" s="237"/>
      <c r="W234" s="237"/>
      <c r="X234" s="237"/>
      <c r="Y234" s="237"/>
      <c r="Z234" s="237"/>
      <c r="AA234" s="237"/>
      <c r="AB234" s="237"/>
      <c r="AC234" s="237"/>
      <c r="AD234" s="237"/>
      <c r="AE234" s="237"/>
      <c r="AF234" s="237"/>
      <c r="AG234" s="237"/>
      <c r="AH234" s="237"/>
      <c r="AI234" s="237"/>
      <c r="AJ234" s="237"/>
      <c r="AK234" s="237"/>
      <c r="AL234" s="237"/>
      <c r="AM234" s="237"/>
      <c r="AN234" s="256"/>
      <c r="AO234" s="256"/>
      <c r="AP234" s="25"/>
      <c r="AQ234" s="256"/>
      <c r="AR234" s="257"/>
      <c r="AS234" s="256"/>
      <c r="AT234" s="257"/>
      <c r="AU234" s="232"/>
      <c r="AV234" s="212"/>
      <c r="AW234" s="212"/>
      <c r="AX234" s="212"/>
      <c r="AY234" s="212"/>
      <c r="AZ234" s="212"/>
      <c r="BA234" s="212"/>
      <c r="BB234" s="212"/>
      <c r="BC234" s="212"/>
      <c r="BD234" s="223"/>
      <c r="BE234" s="212"/>
      <c r="BF234" s="212"/>
      <c r="BG234" s="212"/>
      <c r="BH234" s="212"/>
      <c r="BI234" s="212"/>
      <c r="BJ234" s="212"/>
      <c r="BK234" s="119">
        <v>34.520000000000003</v>
      </c>
      <c r="BL234" s="244" t="s">
        <v>1127</v>
      </c>
      <c r="BM234" s="244" t="s">
        <v>1128</v>
      </c>
      <c r="BN234" s="244"/>
      <c r="BO234" s="244"/>
      <c r="BP234" s="244"/>
      <c r="BQ234" s="244"/>
      <c r="BR234" s="244"/>
      <c r="BS234" s="244"/>
      <c r="BT234" s="94" t="s">
        <v>876</v>
      </c>
      <c r="BU234" s="95"/>
      <c r="BV234" s="95"/>
      <c r="BW234" s="95"/>
      <c r="BX234" s="95"/>
      <c r="BY234" s="94">
        <v>7.9950000000000001</v>
      </c>
      <c r="BZ234" s="94">
        <v>7.9950000000000001</v>
      </c>
      <c r="CA234" s="94">
        <v>11.5</v>
      </c>
      <c r="CB234" s="92">
        <f>(CA234*BZ234*BY234)/1728</f>
        <v>0.42539368489583329</v>
      </c>
      <c r="CC234" s="94">
        <v>5.23</v>
      </c>
      <c r="CD234" s="302"/>
      <c r="CE234" s="302"/>
      <c r="CF234" s="105" t="s">
        <v>135</v>
      </c>
      <c r="CG234" s="27">
        <v>1</v>
      </c>
      <c r="CH234" s="27">
        <v>30</v>
      </c>
      <c r="CI234" s="27">
        <v>3</v>
      </c>
      <c r="CJ234" s="27">
        <f>CG234*CH234*CI234</f>
        <v>90</v>
      </c>
      <c r="CK234" s="27">
        <f>(CC234*CH234*CI234)+50</f>
        <v>520.70000000000005</v>
      </c>
      <c r="CL234" s="27" t="s">
        <v>257</v>
      </c>
      <c r="CM234" s="27" t="s">
        <v>137</v>
      </c>
      <c r="CN234" s="238"/>
      <c r="CO234" s="238"/>
      <c r="CP234" s="14"/>
      <c r="CQ234" s="14"/>
      <c r="CR234" s="14"/>
      <c r="CS234" s="14"/>
      <c r="CT234" s="14"/>
      <c r="CU234" s="14"/>
    </row>
    <row r="235" spans="1:99" s="106" customFormat="1" x14ac:dyDescent="0.25">
      <c r="A235" s="240">
        <v>41782</v>
      </c>
      <c r="B235" s="240"/>
      <c r="C235" s="223" t="s">
        <v>1129</v>
      </c>
      <c r="D235" s="212" t="s">
        <v>54</v>
      </c>
      <c r="E235" s="214" t="s">
        <v>1130</v>
      </c>
      <c r="F235" s="41" t="s">
        <v>1131</v>
      </c>
      <c r="G235" s="41"/>
      <c r="H235" s="41"/>
      <c r="I235" s="41"/>
      <c r="J235" s="176"/>
      <c r="K235" s="31"/>
      <c r="L235" s="31"/>
      <c r="M235" s="31"/>
      <c r="N235" s="25"/>
      <c r="O235" s="26"/>
      <c r="P235" s="237"/>
      <c r="Q235" s="237"/>
      <c r="R235" s="237"/>
      <c r="S235" s="237"/>
      <c r="T235" s="237"/>
      <c r="U235" s="237"/>
      <c r="V235" s="237"/>
      <c r="W235" s="237"/>
      <c r="X235" s="237"/>
      <c r="Y235" s="237"/>
      <c r="Z235" s="237"/>
      <c r="AA235" s="237"/>
      <c r="AB235" s="237"/>
      <c r="AC235" s="237"/>
      <c r="AD235" s="237"/>
      <c r="AE235" s="237"/>
      <c r="AF235" s="237"/>
      <c r="AG235" s="237"/>
      <c r="AH235" s="237"/>
      <c r="AI235" s="237"/>
      <c r="AJ235" s="237"/>
      <c r="AK235" s="237"/>
      <c r="AL235" s="237"/>
      <c r="AM235" s="237"/>
      <c r="AN235" s="256"/>
      <c r="AO235" s="256"/>
      <c r="AP235" s="25"/>
      <c r="AQ235" s="256"/>
      <c r="AR235" s="257"/>
      <c r="AS235" s="256"/>
      <c r="AT235" s="257"/>
      <c r="AU235" s="232"/>
      <c r="AV235" s="212"/>
      <c r="AW235" s="212"/>
      <c r="AX235" s="212"/>
      <c r="AY235" s="212"/>
      <c r="AZ235" s="212"/>
      <c r="BA235" s="212"/>
      <c r="BB235" s="212"/>
      <c r="BC235" s="212"/>
      <c r="BD235" s="223"/>
      <c r="BE235" s="212"/>
      <c r="BF235" s="212"/>
      <c r="BG235" s="212"/>
      <c r="BH235" s="212"/>
      <c r="BI235" s="212"/>
      <c r="BJ235" s="212"/>
      <c r="BK235" s="119">
        <v>21.23</v>
      </c>
      <c r="BL235" s="233" t="s">
        <v>1132</v>
      </c>
      <c r="BM235" s="233" t="s">
        <v>1133</v>
      </c>
      <c r="BN235" s="233"/>
      <c r="BO235" s="233"/>
      <c r="BP235" s="233"/>
      <c r="BQ235" s="233"/>
      <c r="BR235" s="233"/>
      <c r="BS235" s="233"/>
      <c r="BT235" s="94" t="s">
        <v>1134</v>
      </c>
      <c r="BU235" s="95"/>
      <c r="BV235" s="95"/>
      <c r="BW235" s="95"/>
      <c r="BX235" s="95"/>
      <c r="BY235" s="94">
        <v>5.75</v>
      </c>
      <c r="BZ235" s="94">
        <v>5.25</v>
      </c>
      <c r="CA235" s="94">
        <v>3.63</v>
      </c>
      <c r="CB235" s="92">
        <f>(CA235*BZ235*BY235)/1728</f>
        <v>6.3414713541666667E-2</v>
      </c>
      <c r="CC235" s="212"/>
      <c r="CD235" s="212"/>
      <c r="CE235" s="212"/>
      <c r="CF235" s="105" t="s">
        <v>135</v>
      </c>
      <c r="CG235" s="27">
        <v>6</v>
      </c>
      <c r="CH235" s="27">
        <v>56</v>
      </c>
      <c r="CI235" s="27">
        <v>12</v>
      </c>
      <c r="CJ235" s="27">
        <f>CG235*CH235*CI235</f>
        <v>4032</v>
      </c>
      <c r="CK235" s="27">
        <f>(CC235*CH235*CI235)+50</f>
        <v>50</v>
      </c>
      <c r="CL235" s="27" t="s">
        <v>257</v>
      </c>
      <c r="CM235" s="27" t="s">
        <v>137</v>
      </c>
      <c r="CN235" s="238"/>
      <c r="CO235" s="238"/>
      <c r="CP235" s="14"/>
      <c r="CQ235" s="14"/>
      <c r="CR235" s="14"/>
      <c r="CS235" s="14"/>
      <c r="CT235" s="14"/>
      <c r="CU235" s="14"/>
    </row>
    <row r="236" spans="1:99" s="106" customFormat="1" x14ac:dyDescent="0.25">
      <c r="A236" s="240">
        <v>41782</v>
      </c>
      <c r="B236" s="240"/>
      <c r="C236" s="214" t="s">
        <v>1135</v>
      </c>
      <c r="D236" s="212" t="s">
        <v>54</v>
      </c>
      <c r="E236" s="214" t="s">
        <v>496</v>
      </c>
      <c r="F236" s="236" t="s">
        <v>1136</v>
      </c>
      <c r="G236" s="236"/>
      <c r="H236" s="236"/>
      <c r="I236" s="236"/>
      <c r="J236" s="31" t="s">
        <v>520</v>
      </c>
      <c r="K236" s="31" t="s">
        <v>1137</v>
      </c>
      <c r="L236" s="31"/>
      <c r="M236" s="31"/>
      <c r="N236" s="25"/>
      <c r="O236" s="26"/>
      <c r="P236" s="237"/>
      <c r="Q236" s="237"/>
      <c r="R236" s="237"/>
      <c r="S236" s="237"/>
      <c r="T236" s="237"/>
      <c r="U236" s="237"/>
      <c r="V236" s="237"/>
      <c r="W236" s="237"/>
      <c r="X236" s="237"/>
      <c r="Y236" s="237"/>
      <c r="Z236" s="237"/>
      <c r="AA236" s="237"/>
      <c r="AB236" s="237"/>
      <c r="AC236" s="237"/>
      <c r="AD236" s="237"/>
      <c r="AE236" s="237"/>
      <c r="AF236" s="237"/>
      <c r="AG236" s="237"/>
      <c r="AH236" s="237"/>
      <c r="AI236" s="237"/>
      <c r="AJ236" s="237"/>
      <c r="AK236" s="237"/>
      <c r="AL236" s="237"/>
      <c r="AM236" s="237"/>
      <c r="AN236" s="256"/>
      <c r="AO236" s="256"/>
      <c r="AP236" s="25"/>
      <c r="AQ236" s="256"/>
      <c r="AR236" s="257"/>
      <c r="AS236" s="256"/>
      <c r="AT236" s="257"/>
      <c r="AU236" s="232"/>
      <c r="AV236" s="212"/>
      <c r="AW236" s="212"/>
      <c r="AX236" s="212"/>
      <c r="AY236" s="212"/>
      <c r="AZ236" s="212"/>
      <c r="BA236" s="212" t="s">
        <v>1138</v>
      </c>
      <c r="BB236" s="212"/>
      <c r="BC236" s="212"/>
      <c r="BD236" s="223"/>
      <c r="BE236" s="212"/>
      <c r="BF236" s="212"/>
      <c r="BG236" s="212"/>
      <c r="BH236" s="212"/>
      <c r="BI236" s="212"/>
      <c r="BJ236" s="212">
        <v>57306</v>
      </c>
      <c r="BK236" s="119">
        <v>89.43</v>
      </c>
      <c r="BL236" s="244" t="s">
        <v>1139</v>
      </c>
      <c r="BM236" s="244" t="s">
        <v>1140</v>
      </c>
      <c r="BN236" s="244"/>
      <c r="BO236" s="244"/>
      <c r="BP236" s="244"/>
      <c r="BQ236" s="244"/>
      <c r="BR236" s="244"/>
      <c r="BS236" s="244"/>
      <c r="BT236" s="94">
        <v>4.7859999999999996</v>
      </c>
      <c r="BU236" s="94">
        <v>4.7859999999999996</v>
      </c>
      <c r="BV236" s="94">
        <v>8.1969999999999992</v>
      </c>
      <c r="BW236" s="92">
        <f>(BV236*BU236*BT236)/1728</f>
        <v>0.10865671864120367</v>
      </c>
      <c r="BX236" s="94">
        <v>0.79</v>
      </c>
      <c r="BY236" s="94">
        <v>14.805999999999999</v>
      </c>
      <c r="BZ236" s="94">
        <v>10.055999999999999</v>
      </c>
      <c r="CA236" s="94">
        <v>9.4819999999999993</v>
      </c>
      <c r="CB236" s="92">
        <f>(CA236*BZ236*BY236)/1728</f>
        <v>0.81699466872222215</v>
      </c>
      <c r="CC236" s="94">
        <f>BX236*CG236+0.25</f>
        <v>4.99</v>
      </c>
      <c r="CD236" s="302"/>
      <c r="CE236" s="302"/>
      <c r="CF236" s="105" t="s">
        <v>135</v>
      </c>
      <c r="CG236" s="27">
        <v>6</v>
      </c>
      <c r="CH236" s="27">
        <v>12</v>
      </c>
      <c r="CI236" s="27">
        <v>5</v>
      </c>
      <c r="CJ236" s="27">
        <f>CG236*CH236*CI236</f>
        <v>360</v>
      </c>
      <c r="CK236" s="27">
        <f>(CC236*CH236*CI236)+50</f>
        <v>349.40000000000003</v>
      </c>
      <c r="CL236" s="27" t="s">
        <v>1141</v>
      </c>
      <c r="CM236" s="27" t="s">
        <v>137</v>
      </c>
      <c r="CN236" s="238"/>
      <c r="CO236" s="238"/>
      <c r="CP236" s="14"/>
      <c r="CQ236" s="14"/>
      <c r="CR236" s="14"/>
      <c r="CS236" s="14"/>
      <c r="CT236" s="14"/>
      <c r="CU236" s="14"/>
    </row>
    <row r="237" spans="1:99" s="106" customFormat="1" x14ac:dyDescent="0.25">
      <c r="A237" s="240">
        <v>41760</v>
      </c>
      <c r="B237" s="240"/>
      <c r="C237" s="214" t="s">
        <v>1142</v>
      </c>
      <c r="D237" s="212" t="s">
        <v>54</v>
      </c>
      <c r="E237" s="214" t="s">
        <v>1078</v>
      </c>
      <c r="F237" s="41" t="s">
        <v>1143</v>
      </c>
      <c r="G237" s="41"/>
      <c r="H237" s="41"/>
      <c r="I237" s="41"/>
      <c r="J237" s="212"/>
      <c r="K237" s="212"/>
      <c r="L237" s="212"/>
      <c r="M237" s="212"/>
      <c r="N237" s="25"/>
      <c r="O237" s="26"/>
      <c r="P237" s="237"/>
      <c r="Q237" s="237"/>
      <c r="R237" s="237"/>
      <c r="S237" s="237"/>
      <c r="T237" s="237"/>
      <c r="U237" s="237"/>
      <c r="V237" s="237"/>
      <c r="W237" s="237"/>
      <c r="X237" s="237"/>
      <c r="Y237" s="237"/>
      <c r="Z237" s="237"/>
      <c r="AA237" s="237"/>
      <c r="AB237" s="237"/>
      <c r="AC237" s="237"/>
      <c r="AD237" s="237"/>
      <c r="AE237" s="237"/>
      <c r="AF237" s="237"/>
      <c r="AG237" s="237"/>
      <c r="AH237" s="237"/>
      <c r="AI237" s="237"/>
      <c r="AJ237" s="237"/>
      <c r="AK237" s="237"/>
      <c r="AL237" s="237"/>
      <c r="AM237" s="237"/>
      <c r="AN237" s="256"/>
      <c r="AO237" s="256"/>
      <c r="AP237" s="25"/>
      <c r="AQ237" s="256"/>
      <c r="AR237" s="257"/>
      <c r="AS237" s="256"/>
      <c r="AT237" s="257"/>
      <c r="AU237" s="232"/>
      <c r="AV237" s="212"/>
      <c r="AW237" s="212"/>
      <c r="AX237" s="212"/>
      <c r="AY237" s="212"/>
      <c r="AZ237" s="212"/>
      <c r="BA237" s="212"/>
      <c r="BB237" s="212"/>
      <c r="BC237" s="212"/>
      <c r="BD237" s="223"/>
      <c r="BE237" s="212"/>
      <c r="BF237" s="212"/>
      <c r="BG237" s="212"/>
      <c r="BH237" s="212"/>
      <c r="BI237" s="212"/>
      <c r="BJ237" s="212"/>
      <c r="BK237" s="119">
        <v>87.17</v>
      </c>
      <c r="BL237" s="244" t="s">
        <v>1144</v>
      </c>
      <c r="BM237" s="244" t="s">
        <v>1145</v>
      </c>
      <c r="BN237" s="244"/>
      <c r="BO237" s="244"/>
      <c r="BP237" s="244"/>
      <c r="BQ237" s="244"/>
      <c r="BR237" s="244"/>
      <c r="BS237" s="244"/>
      <c r="BT237" s="94" t="s">
        <v>876</v>
      </c>
      <c r="BU237" s="94"/>
      <c r="BV237" s="94"/>
      <c r="BW237" s="94"/>
      <c r="BX237" s="94"/>
      <c r="BY237" s="94">
        <v>10.25</v>
      </c>
      <c r="BZ237" s="94">
        <v>8</v>
      </c>
      <c r="CA237" s="94">
        <v>10.5</v>
      </c>
      <c r="CB237" s="92">
        <f t="shared" ref="CB237:CB252" si="66">(CA237*BZ237*BY237)/1728</f>
        <v>0.4982638888888889</v>
      </c>
      <c r="CC237" s="94">
        <v>5.97</v>
      </c>
      <c r="CD237" s="302"/>
      <c r="CE237" s="302"/>
      <c r="CF237" s="105" t="s">
        <v>135</v>
      </c>
      <c r="CG237" s="27">
        <v>1</v>
      </c>
      <c r="CH237" s="27">
        <v>22</v>
      </c>
      <c r="CI237" s="27">
        <v>4</v>
      </c>
      <c r="CJ237" s="27">
        <f t="shared" ref="CJ237:CJ252" si="67">CG237*CH237*CI237</f>
        <v>88</v>
      </c>
      <c r="CK237" s="27">
        <f t="shared" ref="CK237:CK252" si="68">(CC237*CH237*CI237)+50</f>
        <v>575.36</v>
      </c>
      <c r="CL237" s="27" t="s">
        <v>257</v>
      </c>
      <c r="CM237" s="27" t="s">
        <v>137</v>
      </c>
      <c r="CN237" s="238"/>
      <c r="CO237" s="238"/>
      <c r="CP237" s="14"/>
      <c r="CQ237" s="14"/>
      <c r="CR237" s="14"/>
      <c r="CS237" s="14"/>
      <c r="CT237" s="14"/>
      <c r="CU237" s="14"/>
    </row>
    <row r="238" spans="1:99" s="106" customFormat="1" x14ac:dyDescent="0.25">
      <c r="A238" s="240">
        <v>41760</v>
      </c>
      <c r="B238" s="240"/>
      <c r="C238" s="214" t="s">
        <v>1146</v>
      </c>
      <c r="D238" s="212" t="s">
        <v>54</v>
      </c>
      <c r="E238" s="214" t="s">
        <v>1078</v>
      </c>
      <c r="F238" s="31" t="s">
        <v>1147</v>
      </c>
      <c r="G238" s="31"/>
      <c r="H238" s="31"/>
      <c r="I238" s="31"/>
      <c r="J238" s="212"/>
      <c r="K238" s="212"/>
      <c r="L238" s="212"/>
      <c r="M238" s="212"/>
      <c r="N238" s="25"/>
      <c r="O238" s="26"/>
      <c r="P238" s="237"/>
      <c r="Q238" s="237"/>
      <c r="R238" s="237"/>
      <c r="S238" s="237"/>
      <c r="T238" s="237"/>
      <c r="U238" s="237"/>
      <c r="V238" s="237"/>
      <c r="W238" s="237"/>
      <c r="X238" s="237"/>
      <c r="Y238" s="237"/>
      <c r="Z238" s="237"/>
      <c r="AA238" s="237"/>
      <c r="AB238" s="237"/>
      <c r="AC238" s="237"/>
      <c r="AD238" s="237"/>
      <c r="AE238" s="237"/>
      <c r="AF238" s="237"/>
      <c r="AG238" s="237"/>
      <c r="AH238" s="237"/>
      <c r="AI238" s="237"/>
      <c r="AJ238" s="237"/>
      <c r="AK238" s="237"/>
      <c r="AL238" s="237"/>
      <c r="AM238" s="237"/>
      <c r="AN238" s="256"/>
      <c r="AO238" s="256"/>
      <c r="AP238" s="25"/>
      <c r="AQ238" s="256"/>
      <c r="AR238" s="257"/>
      <c r="AS238" s="256"/>
      <c r="AT238" s="257"/>
      <c r="AU238" s="232"/>
      <c r="AV238" s="212"/>
      <c r="AW238" s="212"/>
      <c r="AX238" s="212"/>
      <c r="AY238" s="212"/>
      <c r="AZ238" s="212"/>
      <c r="BA238" s="212"/>
      <c r="BB238" s="212"/>
      <c r="BC238" s="212"/>
      <c r="BD238" s="223"/>
      <c r="BE238" s="212"/>
      <c r="BF238" s="212"/>
      <c r="BG238" s="212"/>
      <c r="BH238" s="212"/>
      <c r="BI238" s="212"/>
      <c r="BJ238" s="212"/>
      <c r="BK238" s="119">
        <v>40.479999999999997</v>
      </c>
      <c r="BL238" s="244" t="s">
        <v>1148</v>
      </c>
      <c r="BM238" s="244" t="s">
        <v>1149</v>
      </c>
      <c r="BN238" s="244"/>
      <c r="BO238" s="244"/>
      <c r="BP238" s="244"/>
      <c r="BQ238" s="244"/>
      <c r="BR238" s="244"/>
      <c r="BS238" s="244"/>
      <c r="BT238" s="94" t="s">
        <v>876</v>
      </c>
      <c r="BU238" s="94"/>
      <c r="BV238" s="94"/>
      <c r="BW238" s="94"/>
      <c r="BX238" s="94"/>
      <c r="BY238" s="94">
        <v>9</v>
      </c>
      <c r="BZ238" s="94">
        <v>9</v>
      </c>
      <c r="CA238" s="94">
        <v>8.8699999999999992</v>
      </c>
      <c r="CB238" s="92">
        <f t="shared" si="66"/>
        <v>0.41578124999999999</v>
      </c>
      <c r="CC238" s="94">
        <v>3.16</v>
      </c>
      <c r="CD238" s="302"/>
      <c r="CE238" s="302"/>
      <c r="CF238" s="105" t="s">
        <v>135</v>
      </c>
      <c r="CG238" s="27">
        <v>1</v>
      </c>
      <c r="CH238" s="27">
        <v>20</v>
      </c>
      <c r="CI238" s="27">
        <v>5</v>
      </c>
      <c r="CJ238" s="27">
        <f t="shared" si="67"/>
        <v>100</v>
      </c>
      <c r="CK238" s="27">
        <f t="shared" si="68"/>
        <v>366</v>
      </c>
      <c r="CL238" s="27" t="s">
        <v>257</v>
      </c>
      <c r="CM238" s="27" t="s">
        <v>137</v>
      </c>
      <c r="CN238" s="238"/>
      <c r="CO238" s="238"/>
      <c r="CP238" s="14"/>
      <c r="CQ238" s="14"/>
      <c r="CR238" s="14"/>
      <c r="CS238" s="14"/>
      <c r="CT238" s="14"/>
      <c r="CU238" s="14"/>
    </row>
    <row r="239" spans="1:99" s="106" customFormat="1" x14ac:dyDescent="0.25">
      <c r="A239" s="240">
        <v>41760</v>
      </c>
      <c r="B239" s="240"/>
      <c r="C239" s="214" t="s">
        <v>1150</v>
      </c>
      <c r="D239" s="212" t="s">
        <v>54</v>
      </c>
      <c r="E239" s="214" t="s">
        <v>1078</v>
      </c>
      <c r="F239" s="31" t="s">
        <v>1151</v>
      </c>
      <c r="G239" s="31"/>
      <c r="H239" s="31"/>
      <c r="I239" s="31"/>
      <c r="J239" s="212"/>
      <c r="K239" s="212"/>
      <c r="L239" s="212"/>
      <c r="M239" s="212"/>
      <c r="N239" s="41"/>
      <c r="O239" s="46"/>
      <c r="P239" s="237"/>
      <c r="Q239" s="237"/>
      <c r="R239" s="237"/>
      <c r="S239" s="237"/>
      <c r="T239" s="237"/>
      <c r="U239" s="237"/>
      <c r="V239" s="237"/>
      <c r="W239" s="237"/>
      <c r="X239" s="237"/>
      <c r="Y239" s="237"/>
      <c r="Z239" s="237"/>
      <c r="AA239" s="237"/>
      <c r="AB239" s="237"/>
      <c r="AC239" s="237"/>
      <c r="AD239" s="237"/>
      <c r="AE239" s="237"/>
      <c r="AF239" s="237"/>
      <c r="AG239" s="237"/>
      <c r="AH239" s="237"/>
      <c r="AI239" s="237"/>
      <c r="AJ239" s="237"/>
      <c r="AK239" s="237"/>
      <c r="AL239" s="237"/>
      <c r="AM239" s="237"/>
      <c r="AN239" s="256"/>
      <c r="AO239" s="256"/>
      <c r="AP239" s="41"/>
      <c r="AQ239" s="256"/>
      <c r="AR239" s="120"/>
      <c r="AS239" s="256"/>
      <c r="AT239" s="120"/>
      <c r="AU239" s="232"/>
      <c r="AV239" s="212"/>
      <c r="AW239" s="212"/>
      <c r="AX239" s="212"/>
      <c r="AY239" s="212"/>
      <c r="AZ239" s="212"/>
      <c r="BA239" s="212"/>
      <c r="BB239" s="212"/>
      <c r="BC239" s="212"/>
      <c r="BD239" s="223"/>
      <c r="BE239" s="212"/>
      <c r="BF239" s="212"/>
      <c r="BG239" s="212"/>
      <c r="BH239" s="212"/>
      <c r="BI239" s="212"/>
      <c r="BJ239" s="212"/>
      <c r="BK239" s="119">
        <v>69.900000000000006</v>
      </c>
      <c r="BL239" s="233" t="s">
        <v>1152</v>
      </c>
      <c r="BM239" s="233" t="s">
        <v>1153</v>
      </c>
      <c r="BN239" s="233"/>
      <c r="BO239" s="233"/>
      <c r="BP239" s="233"/>
      <c r="BQ239" s="233"/>
      <c r="BR239" s="233"/>
      <c r="BS239" s="233"/>
      <c r="BT239" s="94" t="s">
        <v>876</v>
      </c>
      <c r="BU239" s="94"/>
      <c r="BV239" s="94"/>
      <c r="BW239" s="94"/>
      <c r="BX239" s="94"/>
      <c r="BY239" s="94">
        <v>8.5299999999999994</v>
      </c>
      <c r="BZ239" s="94">
        <v>7.25</v>
      </c>
      <c r="CA239" s="94">
        <v>8.7799999999999994</v>
      </c>
      <c r="CB239" s="92">
        <f t="shared" si="66"/>
        <v>0.31422288773148144</v>
      </c>
      <c r="CC239" s="94">
        <v>3.79</v>
      </c>
      <c r="CD239" s="302"/>
      <c r="CE239" s="302"/>
      <c r="CF239" s="43" t="s">
        <v>135</v>
      </c>
      <c r="CG239" s="27">
        <v>1</v>
      </c>
      <c r="CH239" s="27">
        <v>27</v>
      </c>
      <c r="CI239" s="27">
        <v>4</v>
      </c>
      <c r="CJ239" s="27">
        <f t="shared" si="67"/>
        <v>108</v>
      </c>
      <c r="CK239" s="27">
        <f t="shared" si="68"/>
        <v>459.32</v>
      </c>
      <c r="CL239" s="27" t="s">
        <v>257</v>
      </c>
      <c r="CM239" s="27" t="s">
        <v>137</v>
      </c>
      <c r="CN239" s="238"/>
      <c r="CO239" s="238"/>
      <c r="CP239" s="14"/>
      <c r="CQ239" s="14"/>
      <c r="CR239" s="14"/>
      <c r="CS239" s="14"/>
      <c r="CT239" s="14"/>
      <c r="CU239" s="14"/>
    </row>
    <row r="240" spans="1:99" s="106" customFormat="1" x14ac:dyDescent="0.25">
      <c r="A240" s="240">
        <v>41760</v>
      </c>
      <c r="B240" s="240"/>
      <c r="C240" s="214" t="s">
        <v>1154</v>
      </c>
      <c r="D240" s="212" t="s">
        <v>54</v>
      </c>
      <c r="E240" s="214" t="s">
        <v>1155</v>
      </c>
      <c r="F240" s="236" t="s">
        <v>1156</v>
      </c>
      <c r="G240" s="236"/>
      <c r="H240" s="236"/>
      <c r="I240" s="236"/>
      <c r="J240" s="212" t="s">
        <v>351</v>
      </c>
      <c r="K240" s="212" t="s">
        <v>1157</v>
      </c>
      <c r="L240" s="212"/>
      <c r="M240" s="212"/>
      <c r="N240" s="41"/>
      <c r="O240" s="46"/>
      <c r="P240" s="237"/>
      <c r="Q240" s="237"/>
      <c r="R240" s="237"/>
      <c r="S240" s="237"/>
      <c r="T240" s="237"/>
      <c r="U240" s="237"/>
      <c r="V240" s="237"/>
      <c r="W240" s="237"/>
      <c r="X240" s="237"/>
      <c r="Y240" s="237"/>
      <c r="Z240" s="237"/>
      <c r="AA240" s="237"/>
      <c r="AB240" s="237"/>
      <c r="AC240" s="237"/>
      <c r="AD240" s="237"/>
      <c r="AE240" s="237"/>
      <c r="AF240" s="237"/>
      <c r="AG240" s="237"/>
      <c r="AH240" s="237"/>
      <c r="AI240" s="237"/>
      <c r="AJ240" s="237"/>
      <c r="AK240" s="237"/>
      <c r="AL240" s="237"/>
      <c r="AM240" s="237"/>
      <c r="AN240" s="256" t="s">
        <v>1158</v>
      </c>
      <c r="AO240" s="256"/>
      <c r="AP240" s="41"/>
      <c r="AQ240" s="256"/>
      <c r="AR240" s="120" t="s">
        <v>1159</v>
      </c>
      <c r="AS240" s="256"/>
      <c r="AT240" s="120" t="s">
        <v>1160</v>
      </c>
      <c r="AU240" s="232"/>
      <c r="AV240" s="212"/>
      <c r="AW240" s="212"/>
      <c r="AX240" s="212"/>
      <c r="AY240" s="212"/>
      <c r="AZ240" s="212"/>
      <c r="BA240" s="212"/>
      <c r="BB240" s="212"/>
      <c r="BC240" s="212"/>
      <c r="BD240" s="223"/>
      <c r="BE240" s="212"/>
      <c r="BF240" s="212"/>
      <c r="BG240" s="212"/>
      <c r="BH240" s="212"/>
      <c r="BI240" s="212"/>
      <c r="BJ240" s="212">
        <v>57221</v>
      </c>
      <c r="BK240" s="119">
        <v>45.88</v>
      </c>
      <c r="BL240" s="233" t="s">
        <v>1161</v>
      </c>
      <c r="BM240" s="233" t="s">
        <v>1162</v>
      </c>
      <c r="BN240" s="233"/>
      <c r="BO240" s="233"/>
      <c r="BP240" s="233"/>
      <c r="BQ240" s="233"/>
      <c r="BR240" s="233"/>
      <c r="BS240" s="233"/>
      <c r="BT240" s="94">
        <v>4.3125</v>
      </c>
      <c r="BU240" s="94">
        <v>4.3129999999999997</v>
      </c>
      <c r="BV240" s="94">
        <v>6.75</v>
      </c>
      <c r="BW240" s="92">
        <f>(BV240*BU240*BT240)/1728</f>
        <v>7.2655517578124995E-2</v>
      </c>
      <c r="BX240" s="94">
        <v>2.37</v>
      </c>
      <c r="BY240" s="94">
        <v>13.680999999999999</v>
      </c>
      <c r="BZ240" s="94">
        <v>9.2434999999999992</v>
      </c>
      <c r="CA240" s="94">
        <v>7.6120000000000001</v>
      </c>
      <c r="CB240" s="92">
        <f t="shared" si="66"/>
        <v>0.55706943430671285</v>
      </c>
      <c r="CC240" s="94">
        <f>BX240*CG240+0.25</f>
        <v>14.47</v>
      </c>
      <c r="CD240" s="302"/>
      <c r="CE240" s="302"/>
      <c r="CF240" s="43" t="s">
        <v>135</v>
      </c>
      <c r="CG240" s="27">
        <v>6</v>
      </c>
      <c r="CH240" s="27">
        <v>13</v>
      </c>
      <c r="CI240" s="27">
        <v>6</v>
      </c>
      <c r="CJ240" s="27">
        <f t="shared" si="67"/>
        <v>468</v>
      </c>
      <c r="CK240" s="27">
        <f t="shared" si="68"/>
        <v>1178.6600000000001</v>
      </c>
      <c r="CL240" s="259" t="s">
        <v>257</v>
      </c>
      <c r="CM240" s="27" t="s">
        <v>137</v>
      </c>
      <c r="CN240" s="238"/>
      <c r="CO240" s="238"/>
      <c r="CP240" s="14"/>
      <c r="CQ240" s="14"/>
      <c r="CR240" s="14"/>
      <c r="CS240" s="14"/>
      <c r="CT240" s="14"/>
      <c r="CU240" s="14"/>
    </row>
    <row r="241" spans="1:99" s="106" customFormat="1" ht="30" x14ac:dyDescent="0.25">
      <c r="A241" s="240">
        <v>41760</v>
      </c>
      <c r="B241" s="240"/>
      <c r="C241" s="214" t="s">
        <v>1163</v>
      </c>
      <c r="D241" s="212" t="s">
        <v>54</v>
      </c>
      <c r="E241" s="214" t="s">
        <v>496</v>
      </c>
      <c r="F241" s="236" t="s">
        <v>1164</v>
      </c>
      <c r="G241" s="236"/>
      <c r="H241" s="236"/>
      <c r="I241" s="236"/>
      <c r="J241" s="212" t="s">
        <v>520</v>
      </c>
      <c r="K241" s="212" t="s">
        <v>1165</v>
      </c>
      <c r="L241" s="212" t="s">
        <v>520</v>
      </c>
      <c r="M241" s="212" t="s">
        <v>1166</v>
      </c>
      <c r="N241" s="41"/>
      <c r="O241" s="46"/>
      <c r="P241" s="237"/>
      <c r="Q241" s="237"/>
      <c r="R241" s="237"/>
      <c r="S241" s="237"/>
      <c r="T241" s="237"/>
      <c r="U241" s="237"/>
      <c r="V241" s="237"/>
      <c r="W241" s="237"/>
      <c r="X241" s="237"/>
      <c r="Y241" s="237"/>
      <c r="Z241" s="237"/>
      <c r="AA241" s="237"/>
      <c r="AB241" s="237"/>
      <c r="AC241" s="237"/>
      <c r="AD241" s="237"/>
      <c r="AE241" s="237"/>
      <c r="AF241" s="237"/>
      <c r="AG241" s="237"/>
      <c r="AH241" s="237"/>
      <c r="AI241" s="237"/>
      <c r="AJ241" s="237"/>
      <c r="AK241" s="237"/>
      <c r="AL241" s="237"/>
      <c r="AM241" s="237"/>
      <c r="AN241" s="256"/>
      <c r="AO241" s="256"/>
      <c r="AP241" s="41">
        <v>84669</v>
      </c>
      <c r="AQ241" s="256"/>
      <c r="AR241" s="120"/>
      <c r="AS241" s="256"/>
      <c r="AT241" s="120"/>
      <c r="AU241" s="232"/>
      <c r="AV241" s="212"/>
      <c r="AW241" s="212"/>
      <c r="AX241" s="212"/>
      <c r="AY241" s="212"/>
      <c r="AZ241" s="212"/>
      <c r="BA241" s="212"/>
      <c r="BB241" s="212"/>
      <c r="BC241" s="212"/>
      <c r="BD241" s="223">
        <v>7669</v>
      </c>
      <c r="BE241" s="212"/>
      <c r="BF241" s="212"/>
      <c r="BG241" s="212"/>
      <c r="BH241" s="212"/>
      <c r="BI241" s="212"/>
      <c r="BJ241" s="212">
        <v>57669</v>
      </c>
      <c r="BK241" s="119">
        <v>33.950000000000003</v>
      </c>
      <c r="BL241" s="244" t="s">
        <v>1167</v>
      </c>
      <c r="BM241" s="244" t="s">
        <v>1168</v>
      </c>
      <c r="BN241" s="244"/>
      <c r="BO241" s="244"/>
      <c r="BP241" s="244"/>
      <c r="BQ241" s="244"/>
      <c r="BR241" s="244"/>
      <c r="BS241" s="244"/>
      <c r="BT241" s="521" t="s">
        <v>876</v>
      </c>
      <c r="BU241" s="521"/>
      <c r="BV241" s="521"/>
      <c r="BW241" s="521"/>
      <c r="BX241" s="521"/>
      <c r="BY241" s="94">
        <v>19.125</v>
      </c>
      <c r="BZ241" s="94">
        <v>14.494999999999999</v>
      </c>
      <c r="CA241" s="94">
        <v>10.37</v>
      </c>
      <c r="CB241" s="92">
        <f t="shared" si="66"/>
        <v>1.6636221028645832</v>
      </c>
      <c r="CC241" s="94">
        <f>2.12*CG241+0.4</f>
        <v>25.84</v>
      </c>
      <c r="CD241" s="302"/>
      <c r="CE241" s="302"/>
      <c r="CF241" s="105" t="s">
        <v>135</v>
      </c>
      <c r="CG241" s="27">
        <v>12</v>
      </c>
      <c r="CH241" s="27">
        <v>6</v>
      </c>
      <c r="CI241" s="27">
        <v>4</v>
      </c>
      <c r="CJ241" s="27">
        <f t="shared" si="67"/>
        <v>288</v>
      </c>
      <c r="CK241" s="27">
        <f t="shared" si="68"/>
        <v>670.16</v>
      </c>
      <c r="CL241" s="27" t="s">
        <v>257</v>
      </c>
      <c r="CM241" s="27" t="s">
        <v>137</v>
      </c>
      <c r="CN241" s="238"/>
      <c r="CO241" s="238"/>
      <c r="CP241" s="14"/>
      <c r="CQ241" s="14"/>
      <c r="CR241" s="14"/>
      <c r="CS241" s="14"/>
      <c r="CT241" s="14"/>
      <c r="CU241" s="14"/>
    </row>
    <row r="242" spans="1:99" s="106" customFormat="1" x14ac:dyDescent="0.25">
      <c r="A242" s="240">
        <v>41760</v>
      </c>
      <c r="B242" s="240"/>
      <c r="C242" s="214" t="s">
        <v>1169</v>
      </c>
      <c r="D242" s="214" t="s">
        <v>106</v>
      </c>
      <c r="E242" s="214" t="s">
        <v>1170</v>
      </c>
      <c r="F242" s="236" t="s">
        <v>1171</v>
      </c>
      <c r="G242" s="236"/>
      <c r="H242" s="236"/>
      <c r="I242" s="236"/>
      <c r="J242" s="212" t="s">
        <v>413</v>
      </c>
      <c r="K242" s="212" t="s">
        <v>1172</v>
      </c>
      <c r="L242" s="212"/>
      <c r="M242" s="212"/>
      <c r="N242" s="41"/>
      <c r="O242" s="46"/>
      <c r="P242" s="237"/>
      <c r="Q242" s="237"/>
      <c r="R242" s="237"/>
      <c r="S242" s="237"/>
      <c r="T242" s="237"/>
      <c r="U242" s="237"/>
      <c r="V242" s="237"/>
      <c r="W242" s="237"/>
      <c r="X242" s="237"/>
      <c r="Y242" s="237"/>
      <c r="Z242" s="237"/>
      <c r="AA242" s="237"/>
      <c r="AB242" s="237"/>
      <c r="AC242" s="237"/>
      <c r="AD242" s="237"/>
      <c r="AE242" s="237"/>
      <c r="AF242" s="237"/>
      <c r="AG242" s="237"/>
      <c r="AH242" s="237"/>
      <c r="AI242" s="237"/>
      <c r="AJ242" s="237"/>
      <c r="AK242" s="237"/>
      <c r="AL242" s="237"/>
      <c r="AM242" s="237"/>
      <c r="AN242" s="256"/>
      <c r="AO242" s="256"/>
      <c r="AP242" s="41"/>
      <c r="AQ242" s="256"/>
      <c r="AR242" s="120"/>
      <c r="AS242" s="256"/>
      <c r="AT242" s="120"/>
      <c r="AU242" s="232" t="s">
        <v>1173</v>
      </c>
      <c r="AV242" s="212"/>
      <c r="AW242" s="212"/>
      <c r="AX242" s="212" t="s">
        <v>1174</v>
      </c>
      <c r="AY242" s="212"/>
      <c r="AZ242" s="212"/>
      <c r="BA242" s="212"/>
      <c r="BB242" s="212"/>
      <c r="BC242" s="212"/>
      <c r="BD242" s="223"/>
      <c r="BE242" s="212" t="s">
        <v>1175</v>
      </c>
      <c r="BF242" s="212"/>
      <c r="BG242" s="212" t="s">
        <v>1176</v>
      </c>
      <c r="BH242" s="212"/>
      <c r="BI242" s="212" t="s">
        <v>1177</v>
      </c>
      <c r="BJ242" s="212">
        <v>49008</v>
      </c>
      <c r="BK242" s="119">
        <v>33.97</v>
      </c>
      <c r="BL242" s="233" t="s">
        <v>1178</v>
      </c>
      <c r="BM242" s="233" t="s">
        <v>1179</v>
      </c>
      <c r="BN242" s="233"/>
      <c r="BO242" s="233"/>
      <c r="BP242" s="233"/>
      <c r="BQ242" s="233"/>
      <c r="BR242" s="233"/>
      <c r="BS242" s="233"/>
      <c r="BT242" s="94">
        <v>8.6560000000000006</v>
      </c>
      <c r="BU242" s="94">
        <v>2.286</v>
      </c>
      <c r="BV242" s="94">
        <v>13.942</v>
      </c>
      <c r="BW242" s="92">
        <f>(BV242*BU242*BT242)/1728</f>
        <v>0.15965216566666668</v>
      </c>
      <c r="BX242" s="94">
        <v>0.35</v>
      </c>
      <c r="BY242" s="94">
        <v>14.5</v>
      </c>
      <c r="BZ242" s="94">
        <v>9.25</v>
      </c>
      <c r="CA242" s="94">
        <v>7.5</v>
      </c>
      <c r="CB242" s="92">
        <f t="shared" si="66"/>
        <v>0.58213975694444442</v>
      </c>
      <c r="CC242" s="94">
        <f>BX242*CG242</f>
        <v>1.0499999999999998</v>
      </c>
      <c r="CD242" s="302"/>
      <c r="CE242" s="302"/>
      <c r="CF242" s="43" t="s">
        <v>135</v>
      </c>
      <c r="CG242" s="27">
        <v>3</v>
      </c>
      <c r="CH242" s="27">
        <v>13</v>
      </c>
      <c r="CI242" s="27">
        <v>5</v>
      </c>
      <c r="CJ242" s="27">
        <f t="shared" si="67"/>
        <v>195</v>
      </c>
      <c r="CK242" s="27">
        <f t="shared" si="68"/>
        <v>118.25</v>
      </c>
      <c r="CL242" s="259" t="s">
        <v>140</v>
      </c>
      <c r="CM242" s="27" t="s">
        <v>137</v>
      </c>
      <c r="CN242" s="238"/>
      <c r="CO242" s="238"/>
      <c r="CP242" s="14"/>
      <c r="CQ242" s="14"/>
      <c r="CR242" s="14"/>
      <c r="CS242" s="14"/>
      <c r="CT242" s="14"/>
      <c r="CU242" s="14"/>
    </row>
    <row r="243" spans="1:99" s="106" customFormat="1" x14ac:dyDescent="0.25">
      <c r="A243" s="240">
        <v>41760</v>
      </c>
      <c r="B243" s="240"/>
      <c r="C243" s="214" t="s">
        <v>1180</v>
      </c>
      <c r="D243" s="214" t="s">
        <v>106</v>
      </c>
      <c r="E243" s="214" t="s">
        <v>455</v>
      </c>
      <c r="F243" s="236" t="s">
        <v>1181</v>
      </c>
      <c r="G243" s="236"/>
      <c r="H243" s="236"/>
      <c r="I243" s="236"/>
      <c r="J243" s="212" t="s">
        <v>108</v>
      </c>
      <c r="K243" s="212">
        <v>92234714</v>
      </c>
      <c r="L243" s="212" t="s">
        <v>109</v>
      </c>
      <c r="M243" s="212" t="s">
        <v>1182</v>
      </c>
      <c r="N243" s="41"/>
      <c r="O243" s="46"/>
      <c r="P243" s="237"/>
      <c r="Q243" s="237"/>
      <c r="R243" s="237"/>
      <c r="S243" s="237"/>
      <c r="T243" s="237"/>
      <c r="U243" s="237"/>
      <c r="V243" s="237"/>
      <c r="W243" s="237"/>
      <c r="X243" s="237"/>
      <c r="Y243" s="237"/>
      <c r="Z243" s="237"/>
      <c r="AA243" s="237"/>
      <c r="AB243" s="237"/>
      <c r="AC243" s="237"/>
      <c r="AD243" s="237"/>
      <c r="AE243" s="237"/>
      <c r="AF243" s="237"/>
      <c r="AG243" s="237"/>
      <c r="AH243" s="237"/>
      <c r="AI243" s="237"/>
      <c r="AJ243" s="237"/>
      <c r="AK243" s="237"/>
      <c r="AL243" s="237"/>
      <c r="AM243" s="237"/>
      <c r="AN243" s="256"/>
      <c r="AO243" s="256"/>
      <c r="AP243" s="41"/>
      <c r="AQ243" s="256"/>
      <c r="AR243" s="120"/>
      <c r="AS243" s="256"/>
      <c r="AT243" s="120"/>
      <c r="AU243" s="232" t="s">
        <v>1183</v>
      </c>
      <c r="AV243" s="212"/>
      <c r="AW243" s="212"/>
      <c r="AX243" s="212"/>
      <c r="AY243" s="212"/>
      <c r="AZ243" s="212"/>
      <c r="BA243" s="212"/>
      <c r="BB243" s="212" t="s">
        <v>1184</v>
      </c>
      <c r="BC243" s="212"/>
      <c r="BD243" s="223"/>
      <c r="BE243" s="212" t="s">
        <v>1185</v>
      </c>
      <c r="BF243" s="212" t="s">
        <v>1184</v>
      </c>
      <c r="BG243" s="212" t="s">
        <v>1185</v>
      </c>
      <c r="BH243" s="212"/>
      <c r="BI243" s="212" t="s">
        <v>1186</v>
      </c>
      <c r="BJ243" s="212">
        <v>24014</v>
      </c>
      <c r="BK243" s="119">
        <v>22.46</v>
      </c>
      <c r="BL243" s="233" t="s">
        <v>1187</v>
      </c>
      <c r="BM243" s="233" t="s">
        <v>1188</v>
      </c>
      <c r="BN243" s="233"/>
      <c r="BO243" s="233"/>
      <c r="BP243" s="233"/>
      <c r="BQ243" s="233"/>
      <c r="BR243" s="233"/>
      <c r="BS243" s="233"/>
      <c r="BT243" s="94" t="s">
        <v>876</v>
      </c>
      <c r="BU243" s="94"/>
      <c r="BV243" s="94"/>
      <c r="BW243" s="94"/>
      <c r="BX243" s="94"/>
      <c r="BY243" s="94">
        <v>11.38</v>
      </c>
      <c r="BZ243" s="94">
        <v>10.5</v>
      </c>
      <c r="CA243" s="94">
        <v>6.13</v>
      </c>
      <c r="CB243" s="92">
        <f t="shared" si="66"/>
        <v>0.42388524305555558</v>
      </c>
      <c r="CC243" s="94">
        <f>0.72*CG243+0.25</f>
        <v>4.57</v>
      </c>
      <c r="CD243" s="302"/>
      <c r="CE243" s="302"/>
      <c r="CF243" s="43" t="s">
        <v>135</v>
      </c>
      <c r="CG243" s="27">
        <v>6</v>
      </c>
      <c r="CH243" s="27">
        <v>12</v>
      </c>
      <c r="CI243" s="27">
        <v>6</v>
      </c>
      <c r="CJ243" s="27">
        <f t="shared" si="67"/>
        <v>432</v>
      </c>
      <c r="CK243" s="27">
        <f t="shared" si="68"/>
        <v>379.04</v>
      </c>
      <c r="CL243" s="259" t="s">
        <v>140</v>
      </c>
      <c r="CM243" s="27" t="s">
        <v>137</v>
      </c>
      <c r="CN243" s="238"/>
      <c r="CO243" s="238"/>
      <c r="CP243" s="14"/>
      <c r="CQ243" s="14"/>
      <c r="CR243" s="14"/>
      <c r="CS243" s="14"/>
      <c r="CT243" s="14"/>
      <c r="CU243" s="14"/>
    </row>
    <row r="244" spans="1:99" s="106" customFormat="1" x14ac:dyDescent="0.25">
      <c r="A244" s="240">
        <v>41760</v>
      </c>
      <c r="B244" s="240"/>
      <c r="C244" s="214" t="s">
        <v>1189</v>
      </c>
      <c r="D244" s="214" t="s">
        <v>106</v>
      </c>
      <c r="E244" s="214" t="s">
        <v>1170</v>
      </c>
      <c r="F244" s="236" t="s">
        <v>1190</v>
      </c>
      <c r="G244" s="236"/>
      <c r="H244" s="236"/>
      <c r="I244" s="236"/>
      <c r="J244" s="212" t="s">
        <v>108</v>
      </c>
      <c r="K244" s="212">
        <v>20862288</v>
      </c>
      <c r="L244" s="212" t="s">
        <v>109</v>
      </c>
      <c r="M244" s="212" t="s">
        <v>1191</v>
      </c>
      <c r="N244" s="41"/>
      <c r="O244" s="46"/>
      <c r="P244" s="237"/>
      <c r="Q244" s="237"/>
      <c r="R244" s="237"/>
      <c r="S244" s="237"/>
      <c r="T244" s="237"/>
      <c r="U244" s="237"/>
      <c r="V244" s="237"/>
      <c r="W244" s="237"/>
      <c r="X244" s="237"/>
      <c r="Y244" s="237"/>
      <c r="Z244" s="237"/>
      <c r="AA244" s="237"/>
      <c r="AB244" s="237"/>
      <c r="AC244" s="237"/>
      <c r="AD244" s="237"/>
      <c r="AE244" s="237"/>
      <c r="AF244" s="237"/>
      <c r="AG244" s="237"/>
      <c r="AH244" s="237"/>
      <c r="AI244" s="237"/>
      <c r="AJ244" s="237"/>
      <c r="AK244" s="237"/>
      <c r="AL244" s="237"/>
      <c r="AM244" s="237"/>
      <c r="AN244" s="256" t="s">
        <v>1192</v>
      </c>
      <c r="AO244" s="256"/>
      <c r="AP244" s="41"/>
      <c r="AQ244" s="256"/>
      <c r="AR244" s="120"/>
      <c r="AS244" s="256"/>
      <c r="AT244" s="120"/>
      <c r="AU244" s="232" t="s">
        <v>1193</v>
      </c>
      <c r="AV244" s="212"/>
      <c r="AW244" s="212"/>
      <c r="AX244" s="212" t="s">
        <v>1194</v>
      </c>
      <c r="AY244" s="212"/>
      <c r="AZ244" s="212"/>
      <c r="BA244" s="212"/>
      <c r="BB244" s="212"/>
      <c r="BC244" s="212"/>
      <c r="BD244" s="223"/>
      <c r="BE244" s="212" t="s">
        <v>1195</v>
      </c>
      <c r="BF244" s="212" t="s">
        <v>1196</v>
      </c>
      <c r="BG244" s="212" t="s">
        <v>1197</v>
      </c>
      <c r="BH244" s="212"/>
      <c r="BI244" s="212" t="s">
        <v>1198</v>
      </c>
      <c r="BJ244" s="212">
        <v>49288</v>
      </c>
      <c r="BK244" s="119">
        <v>31.29</v>
      </c>
      <c r="BL244" s="233" t="s">
        <v>1199</v>
      </c>
      <c r="BM244" s="233" t="s">
        <v>1200</v>
      </c>
      <c r="BN244" s="233"/>
      <c r="BO244" s="233"/>
      <c r="BP244" s="233"/>
      <c r="BQ244" s="233"/>
      <c r="BR244" s="233"/>
      <c r="BS244" s="233"/>
      <c r="BT244" s="94">
        <v>7.7859999999999996</v>
      </c>
      <c r="BU244" s="94">
        <v>2.536</v>
      </c>
      <c r="BV244" s="94">
        <v>12.821999999999999</v>
      </c>
      <c r="BW244" s="92">
        <f>(BV244*BU244*BT244)/1728</f>
        <v>0.14651283872222221</v>
      </c>
      <c r="BX244" s="94">
        <v>0.56999999999999995</v>
      </c>
      <c r="BY244" s="94">
        <v>13.5</v>
      </c>
      <c r="BZ244" s="94">
        <v>8.25</v>
      </c>
      <c r="CA244" s="94">
        <v>8.5</v>
      </c>
      <c r="CB244" s="92">
        <f t="shared" si="66"/>
        <v>0.5478515625</v>
      </c>
      <c r="CC244" s="94">
        <f>BX244*CG244+0.25</f>
        <v>1.96</v>
      </c>
      <c r="CD244" s="302"/>
      <c r="CE244" s="302"/>
      <c r="CF244" s="43" t="s">
        <v>135</v>
      </c>
      <c r="CG244" s="27">
        <v>3</v>
      </c>
      <c r="CH244" s="27">
        <v>14</v>
      </c>
      <c r="CI244" s="27">
        <v>5</v>
      </c>
      <c r="CJ244" s="27">
        <f t="shared" si="67"/>
        <v>210</v>
      </c>
      <c r="CK244" s="27">
        <f t="shared" si="68"/>
        <v>187.2</v>
      </c>
      <c r="CL244" s="259" t="s">
        <v>257</v>
      </c>
      <c r="CM244" s="27" t="s">
        <v>137</v>
      </c>
      <c r="CN244" s="238"/>
      <c r="CO244" s="238"/>
      <c r="CP244" s="14"/>
      <c r="CQ244" s="14"/>
      <c r="CR244" s="14"/>
      <c r="CS244" s="14"/>
      <c r="CT244" s="14"/>
      <c r="CU244" s="14"/>
    </row>
    <row r="245" spans="1:99" s="106" customFormat="1" x14ac:dyDescent="0.25">
      <c r="A245" s="240">
        <v>41760</v>
      </c>
      <c r="B245" s="240"/>
      <c r="C245" s="214" t="s">
        <v>1201</v>
      </c>
      <c r="D245" s="212" t="s">
        <v>89</v>
      </c>
      <c r="E245" s="214" t="s">
        <v>1170</v>
      </c>
      <c r="F245" s="236" t="s">
        <v>1202</v>
      </c>
      <c r="G245" s="236"/>
      <c r="H245" s="236"/>
      <c r="I245" s="236"/>
      <c r="J245" s="223" t="s">
        <v>1203</v>
      </c>
      <c r="K245" s="212">
        <v>8970687830</v>
      </c>
      <c r="L245" s="212"/>
      <c r="M245" s="212"/>
      <c r="N245" s="41"/>
      <c r="O245" s="46"/>
      <c r="P245" s="237"/>
      <c r="Q245" s="237"/>
      <c r="R245" s="237"/>
      <c r="S245" s="237"/>
      <c r="T245" s="237"/>
      <c r="U245" s="237"/>
      <c r="V245" s="237"/>
      <c r="W245" s="237"/>
      <c r="X245" s="237"/>
      <c r="Y245" s="237"/>
      <c r="Z245" s="237"/>
      <c r="AA245" s="237"/>
      <c r="AB245" s="237"/>
      <c r="AC245" s="237"/>
      <c r="AD245" s="237"/>
      <c r="AE245" s="237"/>
      <c r="AF245" s="237"/>
      <c r="AG245" s="237"/>
      <c r="AH245" s="237"/>
      <c r="AI245" s="237"/>
      <c r="AJ245" s="237"/>
      <c r="AK245" s="237"/>
      <c r="AL245" s="237"/>
      <c r="AM245" s="237"/>
      <c r="AN245" s="256"/>
      <c r="AO245" s="256"/>
      <c r="AP245" s="41">
        <v>83211</v>
      </c>
      <c r="AQ245" s="256"/>
      <c r="AR245" s="120"/>
      <c r="AS245" s="256"/>
      <c r="AT245" s="120"/>
      <c r="AU245" s="232" t="s">
        <v>1204</v>
      </c>
      <c r="AV245" s="212"/>
      <c r="AW245" s="212"/>
      <c r="AX245" s="212" t="s">
        <v>1205</v>
      </c>
      <c r="AY245" s="212"/>
      <c r="AZ245" s="212"/>
      <c r="BA245" s="212"/>
      <c r="BB245" s="212"/>
      <c r="BC245" s="212"/>
      <c r="BD245" s="223">
        <v>9211</v>
      </c>
      <c r="BE245" s="212" t="s">
        <v>1206</v>
      </c>
      <c r="BF245" s="212"/>
      <c r="BG245" s="212" t="s">
        <v>1207</v>
      </c>
      <c r="BH245" s="212"/>
      <c r="BI245" s="212" t="s">
        <v>1208</v>
      </c>
      <c r="BJ245" s="212">
        <v>49211</v>
      </c>
      <c r="BK245" s="119">
        <v>19.98</v>
      </c>
      <c r="BL245" s="233" t="s">
        <v>1209</v>
      </c>
      <c r="BM245" s="233" t="s">
        <v>1210</v>
      </c>
      <c r="BN245" s="233"/>
      <c r="BO245" s="233"/>
      <c r="BP245" s="233"/>
      <c r="BQ245" s="233"/>
      <c r="BR245" s="233"/>
      <c r="BS245" s="233"/>
      <c r="BT245" s="94">
        <v>10.036</v>
      </c>
      <c r="BU245" s="94">
        <v>2.536</v>
      </c>
      <c r="BV245" s="94">
        <v>12.571999999999999</v>
      </c>
      <c r="BW245" s="92">
        <f>(BV245*BU245*BT245)/1728</f>
        <v>0.18516996140740738</v>
      </c>
      <c r="BX245" s="94">
        <v>0.88</v>
      </c>
      <c r="BY245" s="94">
        <v>13.25</v>
      </c>
      <c r="BZ245" s="94">
        <v>11</v>
      </c>
      <c r="CA245" s="94">
        <v>9</v>
      </c>
      <c r="CB245" s="92">
        <f t="shared" si="66"/>
        <v>0.75911458333333337</v>
      </c>
      <c r="CC245" s="94">
        <f>BX245*CG245+0.25</f>
        <v>2.89</v>
      </c>
      <c r="CD245" s="302"/>
      <c r="CE245" s="302"/>
      <c r="CF245" s="43" t="s">
        <v>135</v>
      </c>
      <c r="CG245" s="27">
        <v>3</v>
      </c>
      <c r="CH245" s="27">
        <v>12</v>
      </c>
      <c r="CI245" s="27">
        <v>4</v>
      </c>
      <c r="CJ245" s="27">
        <f t="shared" si="67"/>
        <v>144</v>
      </c>
      <c r="CK245" s="27">
        <f t="shared" si="68"/>
        <v>188.72</v>
      </c>
      <c r="CL245" s="27" t="s">
        <v>140</v>
      </c>
      <c r="CM245" s="27" t="s">
        <v>137</v>
      </c>
      <c r="CN245" s="238"/>
      <c r="CO245" s="238"/>
      <c r="CP245" s="14"/>
      <c r="CQ245" s="14"/>
      <c r="CR245" s="14"/>
      <c r="CS245" s="14"/>
      <c r="CT245" s="14"/>
      <c r="CU245" s="14"/>
    </row>
    <row r="246" spans="1:99" s="106" customFormat="1" x14ac:dyDescent="0.25">
      <c r="A246" s="240">
        <v>41760</v>
      </c>
      <c r="B246" s="240"/>
      <c r="C246" s="214" t="s">
        <v>1211</v>
      </c>
      <c r="D246" s="212" t="s">
        <v>89</v>
      </c>
      <c r="E246" s="214" t="s">
        <v>1170</v>
      </c>
      <c r="F246" s="236" t="s">
        <v>1212</v>
      </c>
      <c r="G246" s="236"/>
      <c r="H246" s="236"/>
      <c r="I246" s="236"/>
      <c r="J246" s="212" t="s">
        <v>378</v>
      </c>
      <c r="K246" s="212" t="s">
        <v>1213</v>
      </c>
      <c r="L246" s="212"/>
      <c r="M246" s="212"/>
      <c r="N246" s="25"/>
      <c r="O246" s="26"/>
      <c r="P246" s="237"/>
      <c r="Q246" s="237"/>
      <c r="R246" s="237"/>
      <c r="S246" s="237"/>
      <c r="T246" s="237"/>
      <c r="U246" s="237"/>
      <c r="V246" s="237"/>
      <c r="W246" s="237"/>
      <c r="X246" s="237"/>
      <c r="Y246" s="237"/>
      <c r="Z246" s="237"/>
      <c r="AA246" s="237"/>
      <c r="AB246" s="237"/>
      <c r="AC246" s="237"/>
      <c r="AD246" s="237"/>
      <c r="AE246" s="237"/>
      <c r="AF246" s="237"/>
      <c r="AG246" s="237"/>
      <c r="AH246" s="237"/>
      <c r="AI246" s="237"/>
      <c r="AJ246" s="237"/>
      <c r="AK246" s="237"/>
      <c r="AL246" s="237"/>
      <c r="AM246" s="237"/>
      <c r="AN246" s="256"/>
      <c r="AO246" s="256"/>
      <c r="AP246" s="25">
        <v>83048</v>
      </c>
      <c r="AQ246" s="256"/>
      <c r="AR246" s="257"/>
      <c r="AS246" s="256"/>
      <c r="AT246" s="257"/>
      <c r="AU246" s="232" t="s">
        <v>1214</v>
      </c>
      <c r="AV246" s="212" t="s">
        <v>1215</v>
      </c>
      <c r="AW246" s="212"/>
      <c r="AX246" s="212" t="s">
        <v>1216</v>
      </c>
      <c r="AY246" s="212"/>
      <c r="AZ246" s="212"/>
      <c r="BA246" s="212"/>
      <c r="BB246" s="212"/>
      <c r="BC246" s="212"/>
      <c r="BD246" s="223">
        <v>9048</v>
      </c>
      <c r="BE246" s="212" t="s">
        <v>1217</v>
      </c>
      <c r="BF246" s="212"/>
      <c r="BG246" s="212" t="s">
        <v>1218</v>
      </c>
      <c r="BH246" s="212"/>
      <c r="BI246" s="212" t="s">
        <v>1219</v>
      </c>
      <c r="BJ246" s="212">
        <v>49048</v>
      </c>
      <c r="BK246" s="119">
        <v>19.78</v>
      </c>
      <c r="BL246" s="233" t="s">
        <v>1220</v>
      </c>
      <c r="BM246" s="233" t="s">
        <v>1221</v>
      </c>
      <c r="BN246" s="233"/>
      <c r="BO246" s="233"/>
      <c r="BP246" s="233"/>
      <c r="BQ246" s="233"/>
      <c r="BR246" s="233"/>
      <c r="BS246" s="233"/>
      <c r="BT246" s="94">
        <v>7.0359999999999996</v>
      </c>
      <c r="BU246" s="94">
        <v>2.6560000000000001</v>
      </c>
      <c r="BV246" s="94">
        <v>15.321999999999999</v>
      </c>
      <c r="BW246" s="92">
        <f>(BV246*BU246*BT246)/1728</f>
        <v>0.16570118770370368</v>
      </c>
      <c r="BX246" s="94">
        <v>0.45</v>
      </c>
      <c r="BY246" s="94">
        <v>15.75</v>
      </c>
      <c r="BZ246" s="94">
        <v>7.5</v>
      </c>
      <c r="CA246" s="94">
        <v>8.8800000000000008</v>
      </c>
      <c r="CB246" s="92">
        <f t="shared" si="66"/>
        <v>0.60703125000000002</v>
      </c>
      <c r="CC246" s="94">
        <f>BX246*CG246+0.25</f>
        <v>1.6</v>
      </c>
      <c r="CD246" s="302"/>
      <c r="CE246" s="302"/>
      <c r="CF246" s="105" t="s">
        <v>135</v>
      </c>
      <c r="CG246" s="27">
        <v>3</v>
      </c>
      <c r="CH246" s="27">
        <v>15</v>
      </c>
      <c r="CI246" s="27">
        <v>5</v>
      </c>
      <c r="CJ246" s="27">
        <f t="shared" si="67"/>
        <v>225</v>
      </c>
      <c r="CK246" s="27">
        <f t="shared" si="68"/>
        <v>170</v>
      </c>
      <c r="CL246" s="27" t="s">
        <v>257</v>
      </c>
      <c r="CM246" s="27" t="s">
        <v>137</v>
      </c>
      <c r="CN246" s="238"/>
      <c r="CO246" s="238"/>
      <c r="CP246" s="14"/>
      <c r="CQ246" s="14"/>
      <c r="CR246" s="14"/>
      <c r="CS246" s="14"/>
      <c r="CT246" s="14"/>
      <c r="CU246" s="14"/>
    </row>
    <row r="247" spans="1:99" s="106" customFormat="1" x14ac:dyDescent="0.25">
      <c r="A247" s="240">
        <v>41730</v>
      </c>
      <c r="B247" s="240"/>
      <c r="C247" s="212" t="s">
        <v>1222</v>
      </c>
      <c r="D247" s="212" t="s">
        <v>54</v>
      </c>
      <c r="E247" s="214" t="s">
        <v>1155</v>
      </c>
      <c r="F247" s="236" t="s">
        <v>1223</v>
      </c>
      <c r="G247" s="236"/>
      <c r="H247" s="236"/>
      <c r="I247" s="236"/>
      <c r="J247" s="212" t="s">
        <v>207</v>
      </c>
      <c r="K247" s="212" t="s">
        <v>1224</v>
      </c>
      <c r="L247" s="212" t="s">
        <v>351</v>
      </c>
      <c r="M247" s="212" t="s">
        <v>1225</v>
      </c>
      <c r="N247" s="212"/>
      <c r="O247" s="212"/>
      <c r="P247" s="212"/>
      <c r="Q247" s="212"/>
      <c r="R247" s="212"/>
      <c r="S247" s="212"/>
      <c r="T247" s="237"/>
      <c r="U247" s="237"/>
      <c r="V247" s="237"/>
      <c r="W247" s="237"/>
      <c r="X247" s="237"/>
      <c r="Y247" s="237"/>
      <c r="Z247" s="237"/>
      <c r="AA247" s="237"/>
      <c r="AB247" s="237"/>
      <c r="AC247" s="237"/>
      <c r="AD247" s="237"/>
      <c r="AE247" s="237"/>
      <c r="AF247" s="237"/>
      <c r="AG247" s="237"/>
      <c r="AH247" s="237"/>
      <c r="AI247" s="237"/>
      <c r="AJ247" s="237"/>
      <c r="AK247" s="237"/>
      <c r="AL247" s="237"/>
      <c r="AM247" s="237"/>
      <c r="AN247" s="256" t="s">
        <v>1226</v>
      </c>
      <c r="AO247" s="256"/>
      <c r="AP247" s="25"/>
      <c r="AQ247" s="256"/>
      <c r="AR247" s="257" t="s">
        <v>1227</v>
      </c>
      <c r="AS247" s="256"/>
      <c r="AT247" s="257" t="s">
        <v>1228</v>
      </c>
      <c r="AU247" s="232"/>
      <c r="AV247" s="212"/>
      <c r="AW247" s="212"/>
      <c r="AX247" s="212"/>
      <c r="AY247" s="212"/>
      <c r="AZ247" s="212"/>
      <c r="BA247" s="212"/>
      <c r="BB247" s="212"/>
      <c r="BC247" s="212"/>
      <c r="BD247" s="223"/>
      <c r="BE247" s="212"/>
      <c r="BF247" s="212"/>
      <c r="BG247" s="212"/>
      <c r="BH247" s="212"/>
      <c r="BI247" s="212"/>
      <c r="BJ247" s="212"/>
      <c r="BK247" s="119">
        <v>319.89</v>
      </c>
      <c r="BL247" s="244" t="s">
        <v>1229</v>
      </c>
      <c r="BM247" s="244" t="s">
        <v>1230</v>
      </c>
      <c r="BN247" s="244"/>
      <c r="BO247" s="244"/>
      <c r="BP247" s="244"/>
      <c r="BQ247" s="244"/>
      <c r="BR247" s="244"/>
      <c r="BS247" s="244"/>
      <c r="BT247" s="519" t="s">
        <v>356</v>
      </c>
      <c r="BU247" s="519"/>
      <c r="BV247" s="519"/>
      <c r="BW247" s="519"/>
      <c r="BX247" s="519"/>
      <c r="BY247" s="94">
        <v>21.25</v>
      </c>
      <c r="BZ247" s="94">
        <v>5.25</v>
      </c>
      <c r="CA247" s="94">
        <v>7.12</v>
      </c>
      <c r="CB247" s="92">
        <f t="shared" si="66"/>
        <v>0.4596788194444445</v>
      </c>
      <c r="CC247" s="94">
        <v>5.4</v>
      </c>
      <c r="CD247" s="302"/>
      <c r="CE247" s="302"/>
      <c r="CF247" s="105" t="s">
        <v>135</v>
      </c>
      <c r="CG247" s="27">
        <v>1</v>
      </c>
      <c r="CH247" s="27">
        <v>45</v>
      </c>
      <c r="CI247" s="27">
        <v>2</v>
      </c>
      <c r="CJ247" s="27">
        <f t="shared" si="67"/>
        <v>90</v>
      </c>
      <c r="CK247" s="27">
        <f t="shared" si="68"/>
        <v>536</v>
      </c>
      <c r="CL247" s="255" t="s">
        <v>257</v>
      </c>
      <c r="CM247" s="27" t="s">
        <v>137</v>
      </c>
      <c r="CN247" s="238"/>
      <c r="CO247" s="238"/>
      <c r="CP247" s="14"/>
      <c r="CQ247" s="14"/>
      <c r="CR247" s="14"/>
      <c r="CS247" s="14"/>
      <c r="CT247" s="14"/>
      <c r="CU247" s="14"/>
    </row>
    <row r="248" spans="1:99" s="106" customFormat="1" x14ac:dyDescent="0.25">
      <c r="A248" s="240">
        <v>41730</v>
      </c>
      <c r="B248" s="240"/>
      <c r="C248" s="212" t="s">
        <v>1231</v>
      </c>
      <c r="D248" s="212" t="s">
        <v>106</v>
      </c>
      <c r="E248" s="214" t="s">
        <v>1232</v>
      </c>
      <c r="F248" s="236" t="s">
        <v>1233</v>
      </c>
      <c r="G248" s="236"/>
      <c r="H248" s="236"/>
      <c r="I248" s="236"/>
      <c r="J248" s="212" t="s">
        <v>1234</v>
      </c>
      <c r="K248" s="212" t="s">
        <v>1235</v>
      </c>
      <c r="L248" s="163" t="s">
        <v>904</v>
      </c>
      <c r="M248" s="25" t="s">
        <v>1236</v>
      </c>
      <c r="N248" s="25"/>
      <c r="O248" s="26"/>
      <c r="P248" s="237"/>
      <c r="Q248" s="237"/>
      <c r="R248" s="237"/>
      <c r="S248" s="237"/>
      <c r="T248" s="237"/>
      <c r="U248" s="237"/>
      <c r="V248" s="237"/>
      <c r="W248" s="237"/>
      <c r="X248" s="237"/>
      <c r="Y248" s="237"/>
      <c r="Z248" s="237"/>
      <c r="AA248" s="237"/>
      <c r="AB248" s="237"/>
      <c r="AC248" s="237"/>
      <c r="AD248" s="237"/>
      <c r="AE248" s="237"/>
      <c r="AF248" s="237"/>
      <c r="AG248" s="237"/>
      <c r="AH248" s="237"/>
      <c r="AI248" s="237"/>
      <c r="AJ248" s="237"/>
      <c r="AK248" s="237"/>
      <c r="AL248" s="237"/>
      <c r="AM248" s="237"/>
      <c r="AN248" s="256"/>
      <c r="AO248" s="256"/>
      <c r="AP248" s="25">
        <v>84262</v>
      </c>
      <c r="AQ248" s="256"/>
      <c r="AR248" s="257"/>
      <c r="AS248" s="256"/>
      <c r="AT248" s="257"/>
      <c r="AU248" s="232" t="s">
        <v>1237</v>
      </c>
      <c r="AV248" s="212" t="s">
        <v>1238</v>
      </c>
      <c r="AW248" s="212" t="s">
        <v>1239</v>
      </c>
      <c r="AX248" s="212"/>
      <c r="AY248" s="212"/>
      <c r="AZ248" s="212"/>
      <c r="BA248" s="212" t="s">
        <v>1240</v>
      </c>
      <c r="BB248" s="212"/>
      <c r="BC248" s="212"/>
      <c r="BD248" s="223">
        <v>7262</v>
      </c>
      <c r="BE248" s="212" t="s">
        <v>1241</v>
      </c>
      <c r="BF248" s="212"/>
      <c r="BG248" s="212" t="s">
        <v>1242</v>
      </c>
      <c r="BH248" s="212"/>
      <c r="BI248" s="212" t="s">
        <v>1243</v>
      </c>
      <c r="BJ248" s="212">
        <v>57262</v>
      </c>
      <c r="BK248" s="119">
        <v>16.87</v>
      </c>
      <c r="BL248" s="233" t="s">
        <v>1244</v>
      </c>
      <c r="BM248" s="233" t="s">
        <v>1245</v>
      </c>
      <c r="BN248" s="233"/>
      <c r="BO248" s="233"/>
      <c r="BP248" s="233"/>
      <c r="BQ248" s="233"/>
      <c r="BR248" s="233"/>
      <c r="BS248" s="233"/>
      <c r="BT248" s="94">
        <v>3.8479999999999999</v>
      </c>
      <c r="BU248" s="94">
        <v>3.8479999999999999</v>
      </c>
      <c r="BV248" s="94">
        <v>4.4470000000000001</v>
      </c>
      <c r="BW248" s="92">
        <f t="shared" ref="BW248:BW249" si="69">(BV248*BU248*BT248)/1728</f>
        <v>3.8106013592592587E-2</v>
      </c>
      <c r="BX248" s="94">
        <v>0.4</v>
      </c>
      <c r="BY248" s="94">
        <v>11.936999999999999</v>
      </c>
      <c r="BZ248" s="94">
        <v>8</v>
      </c>
      <c r="CA248" s="94">
        <v>5</v>
      </c>
      <c r="CB248" s="92">
        <f t="shared" si="66"/>
        <v>0.2763194444444444</v>
      </c>
      <c r="CC248" s="94">
        <f>BX248*CG248+0.25</f>
        <v>2.6500000000000004</v>
      </c>
      <c r="CD248" s="302"/>
      <c r="CE248" s="302"/>
      <c r="CF248" s="43" t="s">
        <v>135</v>
      </c>
      <c r="CG248" s="27">
        <v>6</v>
      </c>
      <c r="CH248" s="27">
        <v>20</v>
      </c>
      <c r="CI248" s="27">
        <v>9</v>
      </c>
      <c r="CJ248" s="27">
        <f t="shared" si="67"/>
        <v>1080</v>
      </c>
      <c r="CK248" s="27">
        <f t="shared" si="68"/>
        <v>527</v>
      </c>
      <c r="CL248" s="259" t="s">
        <v>257</v>
      </c>
      <c r="CM248" s="27" t="s">
        <v>137</v>
      </c>
      <c r="CN248" s="238"/>
      <c r="CO248" s="238"/>
      <c r="CP248" s="14"/>
      <c r="CQ248" s="14"/>
      <c r="CR248" s="14"/>
      <c r="CS248" s="14"/>
      <c r="CT248" s="14"/>
      <c r="CU248" s="14"/>
    </row>
    <row r="249" spans="1:99" s="106" customFormat="1" x14ac:dyDescent="0.25">
      <c r="A249" s="240">
        <v>41730</v>
      </c>
      <c r="B249" s="240"/>
      <c r="C249" s="212" t="s">
        <v>1246</v>
      </c>
      <c r="D249" s="212" t="s">
        <v>106</v>
      </c>
      <c r="E249" s="214" t="s">
        <v>1232</v>
      </c>
      <c r="F249" s="236" t="s">
        <v>1247</v>
      </c>
      <c r="G249" s="236"/>
      <c r="H249" s="236"/>
      <c r="I249" s="236"/>
      <c r="J249" s="212" t="s">
        <v>125</v>
      </c>
      <c r="K249" s="212">
        <v>11427583220</v>
      </c>
      <c r="L249" s="163" t="s">
        <v>904</v>
      </c>
      <c r="M249" s="25" t="s">
        <v>1248</v>
      </c>
      <c r="N249" s="25"/>
      <c r="O249" s="26"/>
      <c r="P249" s="237"/>
      <c r="Q249" s="237"/>
      <c r="R249" s="237"/>
      <c r="S249" s="237"/>
      <c r="T249" s="237"/>
      <c r="U249" s="237"/>
      <c r="V249" s="237"/>
      <c r="W249" s="237"/>
      <c r="X249" s="237"/>
      <c r="Y249" s="237"/>
      <c r="Z249" s="237"/>
      <c r="AA249" s="237"/>
      <c r="AB249" s="237"/>
      <c r="AC249" s="237"/>
      <c r="AD249" s="237"/>
      <c r="AE249" s="237"/>
      <c r="AF249" s="237"/>
      <c r="AG249" s="237"/>
      <c r="AH249" s="237"/>
      <c r="AI249" s="237"/>
      <c r="AJ249" s="237"/>
      <c r="AK249" s="237"/>
      <c r="AL249" s="237"/>
      <c r="AM249" s="237"/>
      <c r="AN249" s="256"/>
      <c r="AO249" s="256"/>
      <c r="AP249" s="25">
        <v>84189</v>
      </c>
      <c r="AQ249" s="256"/>
      <c r="AR249" s="257"/>
      <c r="AS249" s="256"/>
      <c r="AT249" s="257"/>
      <c r="AU249" s="232" t="s">
        <v>1249</v>
      </c>
      <c r="AV249" s="212" t="s">
        <v>1250</v>
      </c>
      <c r="AW249" s="212"/>
      <c r="AX249" s="212"/>
      <c r="AY249" s="212"/>
      <c r="AZ249" s="212"/>
      <c r="BA249" s="212" t="s">
        <v>1251</v>
      </c>
      <c r="BB249" s="212"/>
      <c r="BC249" s="212"/>
      <c r="BD249" s="223">
        <v>7189</v>
      </c>
      <c r="BE249" s="212" t="s">
        <v>1252</v>
      </c>
      <c r="BF249" s="212" t="s">
        <v>1253</v>
      </c>
      <c r="BG249" s="212" t="s">
        <v>1254</v>
      </c>
      <c r="BH249" s="212"/>
      <c r="BI249" s="212" t="s">
        <v>1255</v>
      </c>
      <c r="BJ249" s="212">
        <v>57189</v>
      </c>
      <c r="BK249" s="119">
        <v>34.04</v>
      </c>
      <c r="BL249" s="233" t="s">
        <v>1256</v>
      </c>
      <c r="BM249" s="233" t="s">
        <v>1257</v>
      </c>
      <c r="BN249" s="233"/>
      <c r="BO249" s="233"/>
      <c r="BP249" s="233"/>
      <c r="BQ249" s="233"/>
      <c r="BR249" s="233"/>
      <c r="BS249" s="233"/>
      <c r="BT249" s="94">
        <v>3.1859999999999999</v>
      </c>
      <c r="BU249" s="94">
        <v>3.1920000000000002</v>
      </c>
      <c r="BV249" s="94">
        <v>4.9420000000000002</v>
      </c>
      <c r="BW249" s="92">
        <f t="shared" si="69"/>
        <v>2.9084905500000001E-2</v>
      </c>
      <c r="BX249" s="94">
        <v>0.31</v>
      </c>
      <c r="BY249" s="94">
        <v>10</v>
      </c>
      <c r="BZ249" s="94">
        <v>6.75</v>
      </c>
      <c r="CA249" s="94">
        <v>5.5</v>
      </c>
      <c r="CB249" s="92">
        <f t="shared" si="66"/>
        <v>0.21484375</v>
      </c>
      <c r="CC249" s="94">
        <f>BX249*CG249+0.25</f>
        <v>2.11</v>
      </c>
      <c r="CD249" s="302"/>
      <c r="CE249" s="302"/>
      <c r="CF249" s="43" t="s">
        <v>135</v>
      </c>
      <c r="CG249" s="27">
        <v>6</v>
      </c>
      <c r="CH249" s="27">
        <v>26</v>
      </c>
      <c r="CI249" s="27">
        <v>8</v>
      </c>
      <c r="CJ249" s="27">
        <f t="shared" si="67"/>
        <v>1248</v>
      </c>
      <c r="CK249" s="27">
        <f t="shared" si="68"/>
        <v>488.88</v>
      </c>
      <c r="CL249" s="259" t="s">
        <v>257</v>
      </c>
      <c r="CM249" s="27" t="s">
        <v>137</v>
      </c>
      <c r="CN249" s="238"/>
      <c r="CO249" s="238"/>
      <c r="CP249" s="14"/>
      <c r="CQ249" s="14"/>
      <c r="CR249" s="14"/>
      <c r="CS249" s="14"/>
      <c r="CT249" s="14"/>
      <c r="CU249" s="14"/>
    </row>
    <row r="250" spans="1:99" s="106" customFormat="1" x14ac:dyDescent="0.25">
      <c r="A250" s="240">
        <v>41730</v>
      </c>
      <c r="B250" s="240"/>
      <c r="C250" s="212" t="s">
        <v>1184</v>
      </c>
      <c r="D250" s="212" t="s">
        <v>106</v>
      </c>
      <c r="E250" s="214" t="s">
        <v>1258</v>
      </c>
      <c r="F250" s="212" t="s">
        <v>1259</v>
      </c>
      <c r="G250" s="212"/>
      <c r="H250" s="212"/>
      <c r="I250" s="212"/>
      <c r="J250" s="212" t="s">
        <v>108</v>
      </c>
      <c r="K250" s="212">
        <v>92234714</v>
      </c>
      <c r="L250" s="163" t="s">
        <v>1260</v>
      </c>
      <c r="M250" s="25" t="s">
        <v>1182</v>
      </c>
      <c r="N250" s="25"/>
      <c r="O250" s="26"/>
      <c r="P250" s="237"/>
      <c r="Q250" s="237"/>
      <c r="R250" s="237"/>
      <c r="S250" s="237"/>
      <c r="T250" s="237"/>
      <c r="U250" s="237"/>
      <c r="V250" s="237"/>
      <c r="W250" s="237"/>
      <c r="X250" s="237"/>
      <c r="Y250" s="237"/>
      <c r="Z250" s="237"/>
      <c r="AA250" s="237"/>
      <c r="AB250" s="237"/>
      <c r="AC250" s="237"/>
      <c r="AD250" s="237"/>
      <c r="AE250" s="237"/>
      <c r="AF250" s="237"/>
      <c r="AG250" s="237"/>
      <c r="AH250" s="237"/>
      <c r="AI250" s="237"/>
      <c r="AJ250" s="237"/>
      <c r="AK250" s="237"/>
      <c r="AL250" s="237"/>
      <c r="AM250" s="237"/>
      <c r="AN250" s="256"/>
      <c r="AO250" s="256"/>
      <c r="AP250" s="25">
        <v>89014</v>
      </c>
      <c r="AQ250" s="256"/>
      <c r="AR250" s="257"/>
      <c r="AS250" s="256"/>
      <c r="AT250" s="257"/>
      <c r="AU250" s="232" t="s">
        <v>1183</v>
      </c>
      <c r="AV250" s="212" t="s">
        <v>1261</v>
      </c>
      <c r="AW250" s="212"/>
      <c r="AX250" s="212"/>
      <c r="AY250" s="212"/>
      <c r="AZ250" s="212"/>
      <c r="BA250" s="212"/>
      <c r="BB250" s="212"/>
      <c r="BC250" s="212"/>
      <c r="BD250" s="223">
        <v>4014</v>
      </c>
      <c r="BE250" s="212" t="s">
        <v>1185</v>
      </c>
      <c r="BF250" s="212" t="s">
        <v>1184</v>
      </c>
      <c r="BG250" s="212" t="s">
        <v>1185</v>
      </c>
      <c r="BH250" s="212"/>
      <c r="BI250" s="212" t="s">
        <v>1186</v>
      </c>
      <c r="BJ250" s="212">
        <v>24014</v>
      </c>
      <c r="BK250" s="119">
        <v>29.69</v>
      </c>
      <c r="BL250" s="233" t="s">
        <v>1262</v>
      </c>
      <c r="BM250" s="233" t="s">
        <v>1263</v>
      </c>
      <c r="BN250" s="233"/>
      <c r="BO250" s="233"/>
      <c r="BP250" s="233"/>
      <c r="BQ250" s="233"/>
      <c r="BR250" s="233"/>
      <c r="BS250" s="233"/>
      <c r="BT250" s="521" t="s">
        <v>876</v>
      </c>
      <c r="BU250" s="521"/>
      <c r="BV250" s="521"/>
      <c r="BW250" s="521"/>
      <c r="BX250" s="521"/>
      <c r="BY250" s="94">
        <v>12</v>
      </c>
      <c r="BZ250" s="94">
        <v>10.37</v>
      </c>
      <c r="CA250" s="94">
        <v>10.62</v>
      </c>
      <c r="CB250" s="92">
        <f t="shared" si="66"/>
        <v>0.76478749999999995</v>
      </c>
      <c r="CC250" s="94">
        <f>0.83*CG250+0.25</f>
        <v>5.2299999999999995</v>
      </c>
      <c r="CD250" s="302"/>
      <c r="CE250" s="302"/>
      <c r="CF250" s="43" t="s">
        <v>135</v>
      </c>
      <c r="CG250" s="27">
        <v>6</v>
      </c>
      <c r="CH250" s="27">
        <v>12</v>
      </c>
      <c r="CI250" s="27">
        <v>4</v>
      </c>
      <c r="CJ250" s="27">
        <f t="shared" si="67"/>
        <v>288</v>
      </c>
      <c r="CK250" s="27">
        <f t="shared" si="68"/>
        <v>301.03999999999996</v>
      </c>
      <c r="CL250" s="259" t="s">
        <v>257</v>
      </c>
      <c r="CM250" s="27" t="s">
        <v>137</v>
      </c>
      <c r="CN250" s="238"/>
      <c r="CO250" s="238"/>
      <c r="CP250" s="14"/>
      <c r="CQ250" s="14"/>
      <c r="CR250" s="14"/>
      <c r="CS250" s="14"/>
      <c r="CT250" s="14"/>
      <c r="CU250" s="14"/>
    </row>
    <row r="251" spans="1:99" s="106" customFormat="1" x14ac:dyDescent="0.25">
      <c r="A251" s="240">
        <v>41730</v>
      </c>
      <c r="B251" s="240"/>
      <c r="C251" s="212" t="s">
        <v>1264</v>
      </c>
      <c r="D251" s="212" t="s">
        <v>106</v>
      </c>
      <c r="E251" s="214" t="s">
        <v>1258</v>
      </c>
      <c r="F251" s="212" t="s">
        <v>1265</v>
      </c>
      <c r="G251" s="212"/>
      <c r="H251" s="212"/>
      <c r="I251" s="212"/>
      <c r="J251" s="223" t="s">
        <v>628</v>
      </c>
      <c r="K251" s="212" t="s">
        <v>1266</v>
      </c>
      <c r="L251" s="163"/>
      <c r="M251" s="25"/>
      <c r="N251" s="163"/>
      <c r="O251" s="25"/>
      <c r="P251" s="25"/>
      <c r="Q251" s="212"/>
      <c r="R251" s="212"/>
      <c r="S251" s="212"/>
      <c r="T251" s="237"/>
      <c r="U251" s="237"/>
      <c r="V251" s="237"/>
      <c r="W251" s="237"/>
      <c r="X251" s="237"/>
      <c r="Y251" s="237"/>
      <c r="Z251" s="237"/>
      <c r="AA251" s="237"/>
      <c r="AB251" s="237"/>
      <c r="AC251" s="237"/>
      <c r="AD251" s="237"/>
      <c r="AE251" s="237"/>
      <c r="AF251" s="237"/>
      <c r="AG251" s="237"/>
      <c r="AH251" s="237"/>
      <c r="AI251" s="237"/>
      <c r="AJ251" s="237"/>
      <c r="AK251" s="237"/>
      <c r="AL251" s="237"/>
      <c r="AM251" s="237"/>
      <c r="AN251" s="256"/>
      <c r="AO251" s="256"/>
      <c r="AP251" s="25"/>
      <c r="AQ251" s="256"/>
      <c r="AR251" s="257"/>
      <c r="AS251" s="256"/>
      <c r="AT251" s="257"/>
      <c r="AU251" s="232" t="s">
        <v>1267</v>
      </c>
      <c r="AV251" s="212"/>
      <c r="AW251" s="212"/>
      <c r="AX251" s="212"/>
      <c r="AY251" s="212"/>
      <c r="AZ251" s="212"/>
      <c r="BA251" s="212"/>
      <c r="BB251" s="212"/>
      <c r="BC251" s="212"/>
      <c r="BD251" s="223"/>
      <c r="BE251" s="212" t="s">
        <v>1268</v>
      </c>
      <c r="BF251" s="212" t="s">
        <v>1264</v>
      </c>
      <c r="BG251" s="212" t="s">
        <v>1268</v>
      </c>
      <c r="BH251" s="212"/>
      <c r="BI251" s="212" t="s">
        <v>1269</v>
      </c>
      <c r="BJ251" s="212">
        <v>24600</v>
      </c>
      <c r="BK251" s="119">
        <v>19.21</v>
      </c>
      <c r="BL251" s="233" t="s">
        <v>1270</v>
      </c>
      <c r="BM251" s="233" t="s">
        <v>1271</v>
      </c>
      <c r="BN251" s="233"/>
      <c r="BO251" s="233"/>
      <c r="BP251" s="233"/>
      <c r="BQ251" s="233"/>
      <c r="BR251" s="233"/>
      <c r="BS251" s="233"/>
      <c r="BT251" s="521" t="s">
        <v>876</v>
      </c>
      <c r="BU251" s="521"/>
      <c r="BV251" s="521"/>
      <c r="BW251" s="521"/>
      <c r="BX251" s="521"/>
      <c r="BY251" s="94">
        <v>11</v>
      </c>
      <c r="BZ251" s="94">
        <v>8</v>
      </c>
      <c r="CA251" s="94">
        <v>8.6199999999999992</v>
      </c>
      <c r="CB251" s="92">
        <f t="shared" si="66"/>
        <v>0.43898148148148147</v>
      </c>
      <c r="CC251" s="94">
        <f>0.06*CG251+0.4</f>
        <v>0.76</v>
      </c>
      <c r="CD251" s="302"/>
      <c r="CE251" s="302"/>
      <c r="CF251" s="43" t="s">
        <v>135</v>
      </c>
      <c r="CG251" s="27">
        <v>6</v>
      </c>
      <c r="CH251" s="27">
        <v>20</v>
      </c>
      <c r="CI251" s="27">
        <v>4</v>
      </c>
      <c r="CJ251" s="27">
        <f t="shared" si="67"/>
        <v>480</v>
      </c>
      <c r="CK251" s="27">
        <f t="shared" si="68"/>
        <v>110.8</v>
      </c>
      <c r="CL251" s="259" t="s">
        <v>257</v>
      </c>
      <c r="CM251" s="27" t="s">
        <v>137</v>
      </c>
      <c r="CN251" s="238"/>
      <c r="CO251" s="238"/>
      <c r="CP251" s="14"/>
      <c r="CQ251" s="14"/>
      <c r="CR251" s="14"/>
      <c r="CS251" s="14"/>
      <c r="CT251" s="14"/>
      <c r="CU251" s="14"/>
    </row>
    <row r="252" spans="1:99" s="106" customFormat="1" x14ac:dyDescent="0.25">
      <c r="A252" s="240">
        <v>41730</v>
      </c>
      <c r="B252" s="240"/>
      <c r="C252" s="212" t="s">
        <v>1272</v>
      </c>
      <c r="D252" s="212" t="s">
        <v>106</v>
      </c>
      <c r="E252" s="214" t="s">
        <v>1258</v>
      </c>
      <c r="F252" s="212" t="s">
        <v>1273</v>
      </c>
      <c r="G252" s="212"/>
      <c r="H252" s="212"/>
      <c r="I252" s="212"/>
      <c r="J252" s="223" t="s">
        <v>294</v>
      </c>
      <c r="K252" s="212" t="s">
        <v>1274</v>
      </c>
      <c r="L252" s="163"/>
      <c r="M252" s="25"/>
      <c r="N252" s="163"/>
      <c r="O252" s="25"/>
      <c r="P252" s="25"/>
      <c r="Q252" s="212"/>
      <c r="R252" s="212"/>
      <c r="S252" s="212"/>
      <c r="T252" s="237"/>
      <c r="U252" s="237"/>
      <c r="V252" s="237"/>
      <c r="W252" s="237"/>
      <c r="X252" s="237"/>
      <c r="Y252" s="237"/>
      <c r="Z252" s="237"/>
      <c r="AA252" s="237"/>
      <c r="AB252" s="237"/>
      <c r="AC252" s="237"/>
      <c r="AD252" s="237"/>
      <c r="AE252" s="237"/>
      <c r="AF252" s="237"/>
      <c r="AG252" s="237"/>
      <c r="AH252" s="237"/>
      <c r="AI252" s="237"/>
      <c r="AJ252" s="237"/>
      <c r="AK252" s="237"/>
      <c r="AL252" s="237"/>
      <c r="AM252" s="237"/>
      <c r="AN252" s="256"/>
      <c r="AO252" s="256"/>
      <c r="AP252" s="25"/>
      <c r="AQ252" s="256"/>
      <c r="AR252" s="257"/>
      <c r="AS252" s="256"/>
      <c r="AT252" s="257"/>
      <c r="AU252" s="232" t="s">
        <v>1275</v>
      </c>
      <c r="AV252" s="212"/>
      <c r="AW252" s="212"/>
      <c r="AX252" s="212"/>
      <c r="AY252" s="212"/>
      <c r="AZ252" s="212"/>
      <c r="BA252" s="212"/>
      <c r="BB252" s="212"/>
      <c r="BC252" s="212"/>
      <c r="BD252" s="223"/>
      <c r="BE252" s="212" t="s">
        <v>1276</v>
      </c>
      <c r="BF252" s="212" t="s">
        <v>1272</v>
      </c>
      <c r="BG252" s="212" t="s">
        <v>1276</v>
      </c>
      <c r="BH252" s="212"/>
      <c r="BI252" s="212" t="s">
        <v>1277</v>
      </c>
      <c r="BJ252" s="212">
        <v>24579</v>
      </c>
      <c r="BK252" s="119">
        <v>13.15</v>
      </c>
      <c r="BL252" s="233" t="s">
        <v>1278</v>
      </c>
      <c r="BM252" s="233" t="s">
        <v>1279</v>
      </c>
      <c r="BN252" s="233"/>
      <c r="BO252" s="233"/>
      <c r="BP252" s="233"/>
      <c r="BQ252" s="233"/>
      <c r="BR252" s="233"/>
      <c r="BS252" s="233"/>
      <c r="BT252" s="521" t="s">
        <v>876</v>
      </c>
      <c r="BU252" s="521"/>
      <c r="BV252" s="521"/>
      <c r="BW252" s="521"/>
      <c r="BX252" s="521"/>
      <c r="BY252" s="94">
        <v>11</v>
      </c>
      <c r="BZ252" s="94">
        <v>8</v>
      </c>
      <c r="CA252" s="94">
        <v>9.25</v>
      </c>
      <c r="CB252" s="92">
        <f t="shared" si="66"/>
        <v>0.47106481481481483</v>
      </c>
      <c r="CC252" s="94">
        <f>0.08*CG252+0.4</f>
        <v>0.88</v>
      </c>
      <c r="CD252" s="302"/>
      <c r="CE252" s="302"/>
      <c r="CF252" s="43" t="s">
        <v>135</v>
      </c>
      <c r="CG252" s="27">
        <v>6</v>
      </c>
      <c r="CH252" s="27">
        <v>18</v>
      </c>
      <c r="CI252" s="27">
        <v>4</v>
      </c>
      <c r="CJ252" s="27">
        <f t="shared" si="67"/>
        <v>432</v>
      </c>
      <c r="CK252" s="27">
        <f t="shared" si="68"/>
        <v>113.36</v>
      </c>
      <c r="CL252" s="259" t="s">
        <v>257</v>
      </c>
      <c r="CM252" s="27" t="s">
        <v>137</v>
      </c>
      <c r="CN252" s="238"/>
      <c r="CO252" s="238"/>
      <c r="CP252" s="14"/>
      <c r="CQ252" s="14"/>
      <c r="CR252" s="14"/>
      <c r="CS252" s="14"/>
      <c r="CT252" s="14"/>
      <c r="CU252" s="14"/>
    </row>
    <row r="253" spans="1:99" s="106" customFormat="1" x14ac:dyDescent="0.25">
      <c r="A253" s="240">
        <v>41730</v>
      </c>
      <c r="B253" s="240"/>
      <c r="C253" s="212" t="s">
        <v>1280</v>
      </c>
      <c r="D253" s="212" t="s">
        <v>106</v>
      </c>
      <c r="E253" s="214" t="s">
        <v>1258</v>
      </c>
      <c r="F253" s="120" t="s">
        <v>1281</v>
      </c>
      <c r="G253" s="120"/>
      <c r="H253" s="120"/>
      <c r="I253" s="120"/>
      <c r="J253" s="223" t="s">
        <v>270</v>
      </c>
      <c r="K253" s="212" t="s">
        <v>1282</v>
      </c>
      <c r="L253" s="163"/>
      <c r="M253" s="25"/>
      <c r="N253" s="163"/>
      <c r="O253" s="25"/>
      <c r="P253" s="25"/>
      <c r="Q253" s="212"/>
      <c r="R253" s="212"/>
      <c r="S253" s="212"/>
      <c r="T253" s="237"/>
      <c r="U253" s="237"/>
      <c r="V253" s="237"/>
      <c r="W253" s="237"/>
      <c r="X253" s="237"/>
      <c r="Y253" s="237"/>
      <c r="Z253" s="237"/>
      <c r="AA253" s="237"/>
      <c r="AB253" s="237"/>
      <c r="AC253" s="237"/>
      <c r="AD253" s="237"/>
      <c r="AE253" s="237"/>
      <c r="AF253" s="237"/>
      <c r="AG253" s="237"/>
      <c r="AH253" s="237"/>
      <c r="AI253" s="237"/>
      <c r="AJ253" s="237"/>
      <c r="AK253" s="237"/>
      <c r="AL253" s="237"/>
      <c r="AM253" s="237"/>
      <c r="AN253" s="256"/>
      <c r="AO253" s="256"/>
      <c r="AP253" s="25"/>
      <c r="AQ253" s="256"/>
      <c r="AR253" s="257"/>
      <c r="AS253" s="256"/>
      <c r="AT253" s="257"/>
      <c r="AU253" s="232" t="s">
        <v>1283</v>
      </c>
      <c r="AV253" s="212"/>
      <c r="AW253" s="212"/>
      <c r="AX253" s="212"/>
      <c r="AY253" s="212"/>
      <c r="AZ253" s="212"/>
      <c r="BA253" s="212"/>
      <c r="BB253" s="212"/>
      <c r="BC253" s="212"/>
      <c r="BD253" s="223"/>
      <c r="BE253" s="212" t="s">
        <v>1284</v>
      </c>
      <c r="BF253" s="212" t="s">
        <v>1280</v>
      </c>
      <c r="BG253" s="212" t="s">
        <v>1284</v>
      </c>
      <c r="BH253" s="212"/>
      <c r="BI253" s="212" t="s">
        <v>1285</v>
      </c>
      <c r="BJ253" s="212">
        <v>24761</v>
      </c>
      <c r="BK253" s="119">
        <v>28.2</v>
      </c>
      <c r="BL253" s="233" t="s">
        <v>1286</v>
      </c>
      <c r="BM253" s="233" t="s">
        <v>1287</v>
      </c>
      <c r="BN253" s="233"/>
      <c r="BO253" s="233"/>
      <c r="BP253" s="233"/>
      <c r="BQ253" s="233"/>
      <c r="BR253" s="233"/>
      <c r="BS253" s="233"/>
      <c r="BT253" s="521" t="s">
        <v>876</v>
      </c>
      <c r="BU253" s="521"/>
      <c r="BV253" s="521"/>
      <c r="BW253" s="521"/>
      <c r="BX253" s="521"/>
      <c r="BY253" s="94">
        <v>10.5</v>
      </c>
      <c r="BZ253" s="94">
        <v>8.75</v>
      </c>
      <c r="CA253" s="94">
        <v>9.75</v>
      </c>
      <c r="CB253" s="92">
        <f>(CA253*BZ253*BY253)/1728</f>
        <v>0.51839192708333337</v>
      </c>
      <c r="CC253" s="94">
        <f>0.07*CG253+0.4</f>
        <v>0.82000000000000006</v>
      </c>
      <c r="CD253" s="302"/>
      <c r="CE253" s="302"/>
      <c r="CF253" s="43" t="s">
        <v>135</v>
      </c>
      <c r="CG253" s="27">
        <v>6</v>
      </c>
      <c r="CH253" s="27">
        <v>18</v>
      </c>
      <c r="CI253" s="27">
        <v>4</v>
      </c>
      <c r="CJ253" s="27">
        <f>CG253*CH253*CI253</f>
        <v>432</v>
      </c>
      <c r="CK253" s="27">
        <f>(CC253*CH253*CI253)+50</f>
        <v>109.04</v>
      </c>
      <c r="CL253" s="259" t="s">
        <v>257</v>
      </c>
      <c r="CM253" s="27" t="s">
        <v>137</v>
      </c>
      <c r="CN253" s="238"/>
      <c r="CO253" s="238"/>
      <c r="CP253" s="14"/>
      <c r="CQ253" s="14"/>
      <c r="CR253" s="14"/>
      <c r="CS253" s="14"/>
      <c r="CT253" s="14"/>
      <c r="CU253" s="14"/>
    </row>
    <row r="254" spans="1:99" s="106" customFormat="1" x14ac:dyDescent="0.25">
      <c r="A254" s="240">
        <v>41713</v>
      </c>
      <c r="B254" s="240"/>
      <c r="C254" s="213" t="s">
        <v>1288</v>
      </c>
      <c r="D254" s="212" t="s">
        <v>106</v>
      </c>
      <c r="E254" s="258" t="s">
        <v>1258</v>
      </c>
      <c r="F254" s="236" t="s">
        <v>1289</v>
      </c>
      <c r="G254" s="236"/>
      <c r="H254" s="236"/>
      <c r="I254" s="236"/>
      <c r="J254" s="223" t="s">
        <v>108</v>
      </c>
      <c r="K254" s="236">
        <v>20958479</v>
      </c>
      <c r="L254" s="163" t="s">
        <v>109</v>
      </c>
      <c r="M254" s="25" t="s">
        <v>1290</v>
      </c>
      <c r="N254" s="25"/>
      <c r="O254" s="26"/>
      <c r="P254" s="237"/>
      <c r="Q254" s="237"/>
      <c r="R254" s="237"/>
      <c r="S254" s="237"/>
      <c r="T254" s="237"/>
      <c r="U254" s="237"/>
      <c r="V254" s="237"/>
      <c r="W254" s="237"/>
      <c r="X254" s="237"/>
      <c r="Y254" s="237"/>
      <c r="Z254" s="237"/>
      <c r="AA254" s="237"/>
      <c r="AB254" s="237"/>
      <c r="AC254" s="237"/>
      <c r="AD254" s="237"/>
      <c r="AE254" s="237"/>
      <c r="AF254" s="237"/>
      <c r="AG254" s="237"/>
      <c r="AH254" s="237"/>
      <c r="AI254" s="237"/>
      <c r="AJ254" s="237"/>
      <c r="AK254" s="237"/>
      <c r="AL254" s="237"/>
      <c r="AM254" s="237"/>
      <c r="AN254" s="256"/>
      <c r="AO254" s="256"/>
      <c r="AP254" s="25"/>
      <c r="AQ254" s="256"/>
      <c r="AR254" s="257"/>
      <c r="AS254" s="256"/>
      <c r="AT254" s="257"/>
      <c r="AU254" s="25" t="s">
        <v>1291</v>
      </c>
      <c r="AV254" s="212"/>
      <c r="AW254" s="212"/>
      <c r="AX254" s="212"/>
      <c r="AY254" s="212"/>
      <c r="AZ254" s="212"/>
      <c r="BA254" s="212"/>
      <c r="BB254" s="212"/>
      <c r="BC254" s="212"/>
      <c r="BD254" s="223"/>
      <c r="BE254" s="212" t="s">
        <v>1292</v>
      </c>
      <c r="BF254" s="212"/>
      <c r="BG254" s="212" t="s">
        <v>1293</v>
      </c>
      <c r="BH254" s="212"/>
      <c r="BI254" s="212" t="s">
        <v>1294</v>
      </c>
      <c r="BJ254" s="212" t="s">
        <v>1295</v>
      </c>
      <c r="BK254" s="119">
        <v>24.28</v>
      </c>
      <c r="BL254" s="244" t="s">
        <v>1296</v>
      </c>
      <c r="BM254" s="244" t="s">
        <v>1297</v>
      </c>
      <c r="BN254" s="244"/>
      <c r="BO254" s="244"/>
      <c r="BP254" s="244"/>
      <c r="BQ254" s="244"/>
      <c r="BR254" s="244"/>
      <c r="BS254" s="244"/>
      <c r="BT254" s="521" t="s">
        <v>876</v>
      </c>
      <c r="BU254" s="521"/>
      <c r="BV254" s="521"/>
      <c r="BW254" s="521"/>
      <c r="BX254" s="521"/>
      <c r="BY254" s="221">
        <v>9.68</v>
      </c>
      <c r="BZ254" s="221">
        <v>7.93</v>
      </c>
      <c r="CA254" s="221">
        <v>5.75</v>
      </c>
      <c r="CB254" s="92">
        <f t="shared" ref="CB254:CB304" si="70">(CA254*BZ254*BY254)/1728</f>
        <v>0.25543043981481478</v>
      </c>
      <c r="CC254" s="221">
        <v>4.1500000000000004</v>
      </c>
      <c r="CD254" s="303"/>
      <c r="CE254" s="303"/>
      <c r="CF254" s="212" t="s">
        <v>135</v>
      </c>
      <c r="CG254" s="213">
        <v>6</v>
      </c>
      <c r="CH254" s="213">
        <v>24</v>
      </c>
      <c r="CI254" s="213">
        <v>7</v>
      </c>
      <c r="CJ254" s="27">
        <f t="shared" ref="CJ254:CJ304" si="71">CG254*CH254*CI254</f>
        <v>1008</v>
      </c>
      <c r="CK254" s="27">
        <f t="shared" ref="CK254:CK304" si="72">(CC254*CH254*CI254)+50</f>
        <v>747.2</v>
      </c>
      <c r="CL254" s="27" t="s">
        <v>140</v>
      </c>
      <c r="CM254" s="27" t="s">
        <v>137</v>
      </c>
      <c r="CN254" s="238"/>
      <c r="CO254" s="238"/>
      <c r="CP254" s="14"/>
      <c r="CQ254" s="14"/>
      <c r="CR254" s="14"/>
      <c r="CS254" s="14"/>
      <c r="CT254" s="14"/>
      <c r="CU254" s="14"/>
    </row>
    <row r="255" spans="1:99" s="106" customFormat="1" x14ac:dyDescent="0.25">
      <c r="A255" s="240">
        <v>41713</v>
      </c>
      <c r="B255" s="240"/>
      <c r="C255" s="212" t="s">
        <v>500</v>
      </c>
      <c r="D255" s="213" t="s">
        <v>106</v>
      </c>
      <c r="E255" s="258" t="s">
        <v>1232</v>
      </c>
      <c r="F255" s="236" t="s">
        <v>1298</v>
      </c>
      <c r="G255" s="236"/>
      <c r="H255" s="236"/>
      <c r="I255" s="236"/>
      <c r="J255" s="212" t="s">
        <v>108</v>
      </c>
      <c r="K255" s="212">
        <v>96985730</v>
      </c>
      <c r="L255" s="163"/>
      <c r="M255" s="25"/>
      <c r="N255" s="25"/>
      <c r="O255" s="26"/>
      <c r="P255" s="237"/>
      <c r="Q255" s="237"/>
      <c r="R255" s="237"/>
      <c r="S255" s="237"/>
      <c r="T255" s="237"/>
      <c r="U255" s="237"/>
      <c r="V255" s="237"/>
      <c r="W255" s="237"/>
      <c r="X255" s="237"/>
      <c r="Y255" s="237"/>
      <c r="Z255" s="237"/>
      <c r="AA255" s="237"/>
      <c r="AB255" s="237"/>
      <c r="AC255" s="237"/>
      <c r="AD255" s="237"/>
      <c r="AE255" s="237"/>
      <c r="AF255" s="237"/>
      <c r="AG255" s="237"/>
      <c r="AH255" s="237"/>
      <c r="AI255" s="237"/>
      <c r="AJ255" s="237"/>
      <c r="AK255" s="237"/>
      <c r="AL255" s="237"/>
      <c r="AM255" s="237"/>
      <c r="AN255" s="256"/>
      <c r="AO255" s="256"/>
      <c r="AP255" s="25"/>
      <c r="AQ255" s="256"/>
      <c r="AR255" s="257"/>
      <c r="AS255" s="256"/>
      <c r="AT255" s="257"/>
      <c r="AU255" s="232" t="s">
        <v>501</v>
      </c>
      <c r="AV255" s="212"/>
      <c r="AW255" s="212"/>
      <c r="AX255" s="212"/>
      <c r="AY255" s="212"/>
      <c r="AZ255" s="212"/>
      <c r="BA255" s="212"/>
      <c r="BB255" s="212"/>
      <c r="BC255" s="212"/>
      <c r="BD255" s="223"/>
      <c r="BE255" s="212" t="s">
        <v>1299</v>
      </c>
      <c r="BF255" s="212"/>
      <c r="BG255" s="212" t="s">
        <v>502</v>
      </c>
      <c r="BH255" s="212"/>
      <c r="BI255" s="212" t="s">
        <v>503</v>
      </c>
      <c r="BJ255" s="212"/>
      <c r="BK255" s="119">
        <v>10.89</v>
      </c>
      <c r="BL255" s="244" t="s">
        <v>1300</v>
      </c>
      <c r="BM255" s="244" t="s">
        <v>1301</v>
      </c>
      <c r="BN255" s="244"/>
      <c r="BO255" s="244"/>
      <c r="BP255" s="244"/>
      <c r="BQ255" s="244"/>
      <c r="BR255" s="244"/>
      <c r="BS255" s="244"/>
      <c r="BT255" s="221">
        <v>2.786</v>
      </c>
      <c r="BU255" s="221">
        <v>2.786</v>
      </c>
      <c r="BV255" s="221">
        <v>2.7589999999999999</v>
      </c>
      <c r="BW255" s="92">
        <f>(BV255*BU255*BT255)/1728</f>
        <v>1.2392821275462963E-2</v>
      </c>
      <c r="BX255" s="94">
        <v>0.5</v>
      </c>
      <c r="BY255" s="94">
        <v>6.3620000000000001</v>
      </c>
      <c r="BZ255" s="94">
        <v>3.056</v>
      </c>
      <c r="CA255" s="94">
        <v>8.8059999999999992</v>
      </c>
      <c r="CB255" s="92">
        <f t="shared" si="70"/>
        <v>9.9079078259259268E-2</v>
      </c>
      <c r="CC255" s="221">
        <f>BX255*CG255+0.25</f>
        <v>3.25</v>
      </c>
      <c r="CD255" s="303"/>
      <c r="CE255" s="303"/>
      <c r="CF255" s="212" t="s">
        <v>135</v>
      </c>
      <c r="CG255" s="212">
        <v>6</v>
      </c>
      <c r="CH255" s="213">
        <v>32</v>
      </c>
      <c r="CI255" s="213">
        <v>12</v>
      </c>
      <c r="CJ255" s="27">
        <f t="shared" si="71"/>
        <v>2304</v>
      </c>
      <c r="CK255" s="27">
        <f t="shared" si="72"/>
        <v>1298</v>
      </c>
      <c r="CL255" s="27" t="s">
        <v>257</v>
      </c>
      <c r="CM255" s="27" t="s">
        <v>137</v>
      </c>
      <c r="CN255" s="238"/>
      <c r="CO255" s="238"/>
      <c r="CP255" s="14"/>
      <c r="CQ255" s="14"/>
      <c r="CR255" s="14"/>
      <c r="CS255" s="14"/>
      <c r="CT255" s="14"/>
      <c r="CU255" s="14"/>
    </row>
    <row r="256" spans="1:99" s="106" customFormat="1" x14ac:dyDescent="0.25">
      <c r="A256" s="240">
        <v>41713</v>
      </c>
      <c r="B256" s="240"/>
      <c r="C256" s="212" t="s">
        <v>1302</v>
      </c>
      <c r="D256" s="212" t="s">
        <v>106</v>
      </c>
      <c r="E256" s="253" t="s">
        <v>1303</v>
      </c>
      <c r="F256" s="236" t="s">
        <v>1304</v>
      </c>
      <c r="G256" s="236"/>
      <c r="H256" s="236"/>
      <c r="I256" s="236"/>
      <c r="J256" s="212" t="s">
        <v>674</v>
      </c>
      <c r="K256" s="212" t="s">
        <v>1305</v>
      </c>
      <c r="L256" s="212" t="s">
        <v>674</v>
      </c>
      <c r="M256" s="212" t="s">
        <v>1306</v>
      </c>
      <c r="N256" s="25"/>
      <c r="O256" s="26"/>
      <c r="P256" s="237"/>
      <c r="Q256" s="237"/>
      <c r="R256" s="237"/>
      <c r="S256" s="237"/>
      <c r="T256" s="237"/>
      <c r="U256" s="237"/>
      <c r="V256" s="237"/>
      <c r="W256" s="237"/>
      <c r="X256" s="237"/>
      <c r="Y256" s="237"/>
      <c r="Z256" s="237"/>
      <c r="AA256" s="237"/>
      <c r="AB256" s="237"/>
      <c r="AC256" s="237"/>
      <c r="AD256" s="237"/>
      <c r="AE256" s="237"/>
      <c r="AF256" s="237"/>
      <c r="AG256" s="237"/>
      <c r="AH256" s="237"/>
      <c r="AI256" s="237"/>
      <c r="AJ256" s="237"/>
      <c r="AK256" s="237"/>
      <c r="AL256" s="237"/>
      <c r="AM256" s="237"/>
      <c r="AN256" s="256"/>
      <c r="AO256" s="256"/>
      <c r="AP256" s="25">
        <v>89756</v>
      </c>
      <c r="AQ256" s="256"/>
      <c r="AR256" s="257"/>
      <c r="AS256" s="256"/>
      <c r="AT256" s="257"/>
      <c r="AU256" s="232" t="s">
        <v>1307</v>
      </c>
      <c r="AV256" s="212" t="s">
        <v>1308</v>
      </c>
      <c r="AW256" s="212" t="s">
        <v>1309</v>
      </c>
      <c r="AX256" s="212"/>
      <c r="AY256" s="212"/>
      <c r="AZ256" s="212"/>
      <c r="BA256" s="212" t="s">
        <v>1310</v>
      </c>
      <c r="BB256" s="212"/>
      <c r="BC256" s="212"/>
      <c r="BD256" s="223">
        <v>4756</v>
      </c>
      <c r="BE256" s="212" t="s">
        <v>1311</v>
      </c>
      <c r="BF256" s="212"/>
      <c r="BG256" s="212" t="s">
        <v>1312</v>
      </c>
      <c r="BH256" s="212"/>
      <c r="BI256" s="212" t="s">
        <v>1313</v>
      </c>
      <c r="BJ256" s="212">
        <v>24756</v>
      </c>
      <c r="BK256" s="119">
        <v>36.049999999999997</v>
      </c>
      <c r="BL256" s="244" t="s">
        <v>1314</v>
      </c>
      <c r="BM256" s="244" t="s">
        <v>1315</v>
      </c>
      <c r="BN256" s="244"/>
      <c r="BO256" s="244"/>
      <c r="BP256" s="244"/>
      <c r="BQ256" s="244"/>
      <c r="BR256" s="244"/>
      <c r="BS256" s="244"/>
      <c r="BT256" s="521" t="s">
        <v>876</v>
      </c>
      <c r="BU256" s="521"/>
      <c r="BV256" s="521"/>
      <c r="BW256" s="521"/>
      <c r="BX256" s="521"/>
      <c r="BY256" s="94">
        <v>18.25</v>
      </c>
      <c r="BZ256" s="94">
        <v>10.25</v>
      </c>
      <c r="CA256" s="94">
        <v>9.75</v>
      </c>
      <c r="CB256" s="92">
        <f t="shared" si="70"/>
        <v>1.0554741753472223</v>
      </c>
      <c r="CC256" s="94">
        <f>0.56*CG256+0.25</f>
        <v>3.6100000000000003</v>
      </c>
      <c r="CD256" s="302"/>
      <c r="CE256" s="302"/>
      <c r="CF256" s="212" t="s">
        <v>135</v>
      </c>
      <c r="CG256" s="212">
        <v>6</v>
      </c>
      <c r="CH256" s="212">
        <v>9</v>
      </c>
      <c r="CI256" s="212">
        <v>4</v>
      </c>
      <c r="CJ256" s="27">
        <f t="shared" si="71"/>
        <v>216</v>
      </c>
      <c r="CK256" s="27">
        <f t="shared" si="72"/>
        <v>179.96</v>
      </c>
      <c r="CL256" s="27" t="s">
        <v>140</v>
      </c>
      <c r="CM256" s="27" t="s">
        <v>137</v>
      </c>
      <c r="CN256" s="238"/>
      <c r="CO256" s="238"/>
      <c r="CP256" s="14"/>
      <c r="CQ256" s="14"/>
      <c r="CR256" s="14"/>
      <c r="CS256" s="14"/>
      <c r="CT256" s="14"/>
      <c r="CU256" s="14"/>
    </row>
    <row r="257" spans="1:99" s="106" customFormat="1" ht="30" x14ac:dyDescent="0.25">
      <c r="A257" s="240">
        <v>41713</v>
      </c>
      <c r="B257" s="240"/>
      <c r="C257" s="212" t="s">
        <v>1316</v>
      </c>
      <c r="D257" s="212" t="s">
        <v>54</v>
      </c>
      <c r="E257" s="253" t="s">
        <v>1317</v>
      </c>
      <c r="F257" s="236" t="s">
        <v>1318</v>
      </c>
      <c r="G257" s="236"/>
      <c r="H257" s="236"/>
      <c r="I257" s="236"/>
      <c r="J257" s="212" t="s">
        <v>520</v>
      </c>
      <c r="K257" s="212" t="s">
        <v>1319</v>
      </c>
      <c r="L257" s="212" t="s">
        <v>520</v>
      </c>
      <c r="M257" s="212" t="s">
        <v>1320</v>
      </c>
      <c r="N257" s="212" t="s">
        <v>520</v>
      </c>
      <c r="O257" s="212" t="s">
        <v>1321</v>
      </c>
      <c r="P257" s="212" t="s">
        <v>520</v>
      </c>
      <c r="Q257" s="212" t="s">
        <v>1322</v>
      </c>
      <c r="R257" s="212" t="s">
        <v>849</v>
      </c>
      <c r="S257" s="212" t="s">
        <v>1323</v>
      </c>
      <c r="T257" s="237"/>
      <c r="U257" s="237"/>
      <c r="V257" s="237"/>
      <c r="W257" s="237"/>
      <c r="X257" s="237"/>
      <c r="Y257" s="237"/>
      <c r="Z257" s="237"/>
      <c r="AA257" s="237"/>
      <c r="AB257" s="237"/>
      <c r="AC257" s="237"/>
      <c r="AD257" s="237"/>
      <c r="AE257" s="237"/>
      <c r="AF257" s="237"/>
      <c r="AG257" s="237"/>
      <c r="AH257" s="237"/>
      <c r="AI257" s="237"/>
      <c r="AJ257" s="237"/>
      <c r="AK257" s="237"/>
      <c r="AL257" s="237"/>
      <c r="AM257" s="237"/>
      <c r="AN257" s="256" t="s">
        <v>1324</v>
      </c>
      <c r="AO257" s="256"/>
      <c r="AP257" s="25"/>
      <c r="AQ257" s="256"/>
      <c r="AR257" s="257"/>
      <c r="AS257" s="256"/>
      <c r="AT257" s="257"/>
      <c r="AU257" s="232"/>
      <c r="AV257" s="212"/>
      <c r="AW257" s="212"/>
      <c r="AX257" s="212"/>
      <c r="AY257" s="212"/>
      <c r="AZ257" s="212"/>
      <c r="BA257" s="212"/>
      <c r="BB257" s="212"/>
      <c r="BC257" s="212"/>
      <c r="BD257" s="223"/>
      <c r="BE257" s="212"/>
      <c r="BF257" s="212"/>
      <c r="BG257" s="212"/>
      <c r="BH257" s="212"/>
      <c r="BI257" s="212"/>
      <c r="BJ257" s="212"/>
      <c r="BK257" s="119">
        <v>85</v>
      </c>
      <c r="BL257" s="244" t="s">
        <v>1325</v>
      </c>
      <c r="BM257" s="244" t="s">
        <v>1326</v>
      </c>
      <c r="BN257" s="244"/>
      <c r="BO257" s="244"/>
      <c r="BP257" s="244"/>
      <c r="BQ257" s="244"/>
      <c r="BR257" s="244"/>
      <c r="BS257" s="244"/>
      <c r="BT257" s="94">
        <v>8.4239999999999995</v>
      </c>
      <c r="BU257" s="94">
        <v>4.5439999999999996</v>
      </c>
      <c r="BV257" s="212">
        <v>6.7779999999999996</v>
      </c>
      <c r="BW257" s="92">
        <f>(BT257*BU257*BV257)/1728</f>
        <v>0.15014625599999998</v>
      </c>
      <c r="BX257" s="94">
        <f>0.91+0.1</f>
        <v>1.01</v>
      </c>
      <c r="BY257" s="94">
        <v>17.495999999999999</v>
      </c>
      <c r="BZ257" s="94">
        <v>14.305999999999999</v>
      </c>
      <c r="CA257" s="94">
        <v>7.492</v>
      </c>
      <c r="CB257" s="92">
        <f t="shared" si="70"/>
        <v>1.0852030889999997</v>
      </c>
      <c r="CC257" s="94">
        <f>BX257*CG257+0.25</f>
        <v>6.3100000000000005</v>
      </c>
      <c r="CD257" s="302"/>
      <c r="CE257" s="302"/>
      <c r="CF257" s="212" t="s">
        <v>135</v>
      </c>
      <c r="CG257" s="212">
        <v>6</v>
      </c>
      <c r="CH257" s="212">
        <v>6</v>
      </c>
      <c r="CI257" s="212">
        <v>5</v>
      </c>
      <c r="CJ257" s="27">
        <f t="shared" si="71"/>
        <v>180</v>
      </c>
      <c r="CK257" s="27">
        <f t="shared" si="72"/>
        <v>239.3</v>
      </c>
      <c r="CL257" s="27" t="s">
        <v>257</v>
      </c>
      <c r="CM257" s="27" t="s">
        <v>137</v>
      </c>
      <c r="CN257" s="238"/>
      <c r="CO257" s="238"/>
      <c r="CP257" s="14"/>
      <c r="CQ257" s="14"/>
      <c r="CR257" s="14"/>
      <c r="CS257" s="14"/>
      <c r="CT257" s="14"/>
      <c r="CU257" s="14"/>
    </row>
    <row r="258" spans="1:99" s="106" customFormat="1" ht="30" x14ac:dyDescent="0.25">
      <c r="A258" s="240">
        <v>41713</v>
      </c>
      <c r="B258" s="240"/>
      <c r="C258" s="213" t="s">
        <v>1327</v>
      </c>
      <c r="D258" s="213" t="s">
        <v>54</v>
      </c>
      <c r="E258" s="258" t="s">
        <v>1317</v>
      </c>
      <c r="F258" s="236" t="s">
        <v>1328</v>
      </c>
      <c r="G258" s="236"/>
      <c r="H258" s="236"/>
      <c r="I258" s="236"/>
      <c r="J258" s="212" t="s">
        <v>740</v>
      </c>
      <c r="K258" s="212" t="s">
        <v>1329</v>
      </c>
      <c r="L258" s="163"/>
      <c r="M258" s="25"/>
      <c r="N258" s="25"/>
      <c r="O258" s="26"/>
      <c r="P258" s="237"/>
      <c r="Q258" s="237"/>
      <c r="R258" s="237"/>
      <c r="S258" s="237"/>
      <c r="T258" s="237"/>
      <c r="U258" s="237"/>
      <c r="V258" s="237"/>
      <c r="W258" s="237"/>
      <c r="X258" s="237"/>
      <c r="Y258" s="237"/>
      <c r="Z258" s="237"/>
      <c r="AA258" s="237"/>
      <c r="AB258" s="237"/>
      <c r="AC258" s="237"/>
      <c r="AD258" s="237"/>
      <c r="AE258" s="237"/>
      <c r="AF258" s="237"/>
      <c r="AG258" s="237"/>
      <c r="AH258" s="237"/>
      <c r="AI258" s="237"/>
      <c r="AJ258" s="237"/>
      <c r="AK258" s="237"/>
      <c r="AL258" s="237"/>
      <c r="AM258" s="237"/>
      <c r="AN258" s="256"/>
      <c r="AO258" s="256"/>
      <c r="AP258" s="25"/>
      <c r="AQ258" s="256"/>
      <c r="AR258" s="257"/>
      <c r="AS258" s="256"/>
      <c r="AT258" s="257"/>
      <c r="AU258" s="232" t="s">
        <v>1330</v>
      </c>
      <c r="AV258" s="212"/>
      <c r="AW258" s="212"/>
      <c r="AX258" s="212"/>
      <c r="AY258" s="212"/>
      <c r="AZ258" s="212"/>
      <c r="BA258" s="212"/>
      <c r="BB258" s="212"/>
      <c r="BC258" s="212"/>
      <c r="BD258" s="223"/>
      <c r="BE258" s="212"/>
      <c r="BF258" s="212"/>
      <c r="BG258" s="212"/>
      <c r="BH258" s="212"/>
      <c r="BI258" s="212"/>
      <c r="BJ258" s="212"/>
      <c r="BK258" s="119">
        <v>87.38</v>
      </c>
      <c r="BL258" s="244" t="s">
        <v>1331</v>
      </c>
      <c r="BM258" s="244" t="s">
        <v>1332</v>
      </c>
      <c r="BN258" s="244"/>
      <c r="BO258" s="244"/>
      <c r="BP258" s="244"/>
      <c r="BQ258" s="244"/>
      <c r="BR258" s="244"/>
      <c r="BS258" s="244"/>
      <c r="BT258" s="221">
        <v>3.992</v>
      </c>
      <c r="BU258" s="221">
        <v>3.992</v>
      </c>
      <c r="BV258" s="213">
        <v>8.234</v>
      </c>
      <c r="BW258" s="92">
        <f>(BT258*BU258*BV258)/1728</f>
        <v>7.5936082740740748E-2</v>
      </c>
      <c r="BX258" s="221">
        <v>0.8</v>
      </c>
      <c r="BY258" s="221">
        <v>16.556000000000001</v>
      </c>
      <c r="BZ258" s="221">
        <v>12.555999999999999</v>
      </c>
      <c r="CA258" s="221">
        <v>8.8620000000000001</v>
      </c>
      <c r="CB258" s="92">
        <f t="shared" si="70"/>
        <v>1.0660921176111111</v>
      </c>
      <c r="CC258" s="94">
        <f>BX258*CG258+0.25</f>
        <v>9.8500000000000014</v>
      </c>
      <c r="CD258" s="302"/>
      <c r="CE258" s="302"/>
      <c r="CF258" s="212" t="s">
        <v>135</v>
      </c>
      <c r="CG258" s="213">
        <v>12</v>
      </c>
      <c r="CH258" s="213">
        <v>8</v>
      </c>
      <c r="CI258" s="213">
        <v>4</v>
      </c>
      <c r="CJ258" s="27">
        <f t="shared" si="71"/>
        <v>384</v>
      </c>
      <c r="CK258" s="27">
        <f t="shared" si="72"/>
        <v>365.20000000000005</v>
      </c>
      <c r="CL258" s="27" t="s">
        <v>257</v>
      </c>
      <c r="CM258" s="27" t="s">
        <v>137</v>
      </c>
      <c r="CN258" s="238"/>
      <c r="CO258" s="238"/>
      <c r="CP258" s="14"/>
      <c r="CQ258" s="14"/>
      <c r="CR258" s="14"/>
      <c r="CS258" s="14"/>
      <c r="CT258" s="14"/>
      <c r="CU258" s="14"/>
    </row>
    <row r="259" spans="1:99" s="106" customFormat="1" x14ac:dyDescent="0.25">
      <c r="A259" s="240">
        <v>41713</v>
      </c>
      <c r="B259" s="240"/>
      <c r="C259" s="213" t="s">
        <v>1333</v>
      </c>
      <c r="D259" s="212" t="s">
        <v>106</v>
      </c>
      <c r="E259" s="258" t="s">
        <v>1303</v>
      </c>
      <c r="F259" s="236" t="s">
        <v>1334</v>
      </c>
      <c r="G259" s="236"/>
      <c r="H259" s="236"/>
      <c r="I259" s="236"/>
      <c r="J259" s="212" t="s">
        <v>334</v>
      </c>
      <c r="K259" s="212" t="s">
        <v>1335</v>
      </c>
      <c r="L259" s="163"/>
      <c r="M259" s="25"/>
      <c r="N259" s="25"/>
      <c r="O259" s="26"/>
      <c r="P259" s="237"/>
      <c r="Q259" s="237"/>
      <c r="R259" s="237"/>
      <c r="S259" s="237"/>
      <c r="T259" s="237"/>
      <c r="U259" s="237"/>
      <c r="V259" s="237"/>
      <c r="W259" s="237"/>
      <c r="X259" s="237"/>
      <c r="Y259" s="237"/>
      <c r="Z259" s="237"/>
      <c r="AA259" s="237"/>
      <c r="AB259" s="237"/>
      <c r="AC259" s="237"/>
      <c r="AD259" s="237"/>
      <c r="AE259" s="237"/>
      <c r="AF259" s="237"/>
      <c r="AG259" s="237"/>
      <c r="AH259" s="237"/>
      <c r="AI259" s="237"/>
      <c r="AJ259" s="237"/>
      <c r="AK259" s="237"/>
      <c r="AL259" s="237"/>
      <c r="AM259" s="237"/>
      <c r="AN259" s="256"/>
      <c r="AO259" s="256"/>
      <c r="AP259" s="25"/>
      <c r="AQ259" s="256"/>
      <c r="AR259" s="257"/>
      <c r="AS259" s="256"/>
      <c r="AT259" s="257"/>
      <c r="AU259" s="232" t="s">
        <v>1336</v>
      </c>
      <c r="AV259" s="212"/>
      <c r="AW259" s="212"/>
      <c r="AX259" s="212" t="s">
        <v>1337</v>
      </c>
      <c r="AY259" s="212"/>
      <c r="AZ259" s="212"/>
      <c r="BA259" s="212"/>
      <c r="BB259" s="212"/>
      <c r="BC259" s="212"/>
      <c r="BD259" s="223"/>
      <c r="BE259" s="212" t="s">
        <v>1338</v>
      </c>
      <c r="BF259" s="212" t="s">
        <v>1339</v>
      </c>
      <c r="BG259" s="212" t="s">
        <v>1340</v>
      </c>
      <c r="BH259" s="212"/>
      <c r="BI259" s="212" t="s">
        <v>1341</v>
      </c>
      <c r="BJ259" s="212">
        <v>49049</v>
      </c>
      <c r="BK259" s="119">
        <v>25.95</v>
      </c>
      <c r="BL259" s="244" t="s">
        <v>1342</v>
      </c>
      <c r="BM259" s="244" t="s">
        <v>1343</v>
      </c>
      <c r="BN259" s="244"/>
      <c r="BO259" s="244"/>
      <c r="BP259" s="244"/>
      <c r="BQ259" s="244"/>
      <c r="BR259" s="244"/>
      <c r="BS259" s="244"/>
      <c r="BT259" s="221">
        <v>9.7859999999999996</v>
      </c>
      <c r="BU259" s="221">
        <v>2.3460000000000001</v>
      </c>
      <c r="BV259" s="213">
        <v>9.8219999999999992</v>
      </c>
      <c r="BW259" s="92">
        <f>(BT259*BU259*BV259)/1728</f>
        <v>0.13049365962499998</v>
      </c>
      <c r="BX259" s="221">
        <v>0.56000000000000005</v>
      </c>
      <c r="BY259" s="221">
        <v>10.25</v>
      </c>
      <c r="BZ259" s="221">
        <v>7.75</v>
      </c>
      <c r="CA259" s="221">
        <v>10.5</v>
      </c>
      <c r="CB259" s="92">
        <f t="shared" si="70"/>
        <v>0.4826931423611111</v>
      </c>
      <c r="CC259" s="94">
        <f>BX259*CG259+0.25</f>
        <v>1.9300000000000002</v>
      </c>
      <c r="CD259" s="302"/>
      <c r="CE259" s="302"/>
      <c r="CF259" s="212" t="s">
        <v>135</v>
      </c>
      <c r="CG259" s="213">
        <v>3</v>
      </c>
      <c r="CH259" s="213">
        <v>22</v>
      </c>
      <c r="CI259" s="213">
        <v>4</v>
      </c>
      <c r="CJ259" s="27">
        <f t="shared" si="71"/>
        <v>264</v>
      </c>
      <c r="CK259" s="27">
        <f t="shared" si="72"/>
        <v>219.84</v>
      </c>
      <c r="CL259" s="27" t="s">
        <v>257</v>
      </c>
      <c r="CM259" s="27" t="s">
        <v>137</v>
      </c>
      <c r="CN259" s="238"/>
      <c r="CO259" s="238"/>
      <c r="CP259" s="14"/>
      <c r="CQ259" s="14"/>
      <c r="CR259" s="14"/>
      <c r="CS259" s="14"/>
      <c r="CT259" s="14"/>
      <c r="CU259" s="14"/>
    </row>
    <row r="260" spans="1:99" s="106" customFormat="1" x14ac:dyDescent="0.25">
      <c r="A260" s="240">
        <v>41713</v>
      </c>
      <c r="B260" s="240"/>
      <c r="C260" s="213" t="s">
        <v>1344</v>
      </c>
      <c r="D260" s="213" t="s">
        <v>106</v>
      </c>
      <c r="E260" s="258" t="s">
        <v>1345</v>
      </c>
      <c r="F260" s="236" t="s">
        <v>1346</v>
      </c>
      <c r="G260" s="236"/>
      <c r="H260" s="236"/>
      <c r="I260" s="236"/>
      <c r="J260" s="212" t="s">
        <v>1347</v>
      </c>
      <c r="K260" s="212" t="s">
        <v>1348</v>
      </c>
      <c r="L260" s="163"/>
      <c r="M260" s="25"/>
      <c r="N260" s="25"/>
      <c r="O260" s="26"/>
      <c r="P260" s="237"/>
      <c r="Q260" s="237"/>
      <c r="R260" s="237"/>
      <c r="S260" s="237"/>
      <c r="T260" s="237"/>
      <c r="U260" s="237"/>
      <c r="V260" s="237"/>
      <c r="W260" s="237"/>
      <c r="X260" s="237"/>
      <c r="Y260" s="237"/>
      <c r="Z260" s="237"/>
      <c r="AA260" s="237"/>
      <c r="AB260" s="237"/>
      <c r="AC260" s="237"/>
      <c r="AD260" s="237"/>
      <c r="AE260" s="237"/>
      <c r="AF260" s="237"/>
      <c r="AG260" s="237"/>
      <c r="AH260" s="237"/>
      <c r="AI260" s="237"/>
      <c r="AJ260" s="237"/>
      <c r="AK260" s="237"/>
      <c r="AL260" s="237"/>
      <c r="AM260" s="237"/>
      <c r="AN260" s="256"/>
      <c r="AO260" s="256"/>
      <c r="AP260" s="25"/>
      <c r="AQ260" s="256"/>
      <c r="AR260" s="257"/>
      <c r="AS260" s="256"/>
      <c r="AT260" s="257"/>
      <c r="AU260" s="232" t="s">
        <v>1349</v>
      </c>
      <c r="AV260" s="212"/>
      <c r="AW260" s="212"/>
      <c r="AX260" s="212"/>
      <c r="AY260" s="212"/>
      <c r="AZ260" s="212"/>
      <c r="BA260" s="212"/>
      <c r="BB260" s="212"/>
      <c r="BC260" s="212"/>
      <c r="BD260" s="223"/>
      <c r="BE260" s="212"/>
      <c r="BF260" s="212" t="s">
        <v>1350</v>
      </c>
      <c r="BG260" s="212" t="s">
        <v>1351</v>
      </c>
      <c r="BH260" s="212"/>
      <c r="BI260" s="212"/>
      <c r="BJ260" s="212">
        <v>57070</v>
      </c>
      <c r="BK260" s="119">
        <v>34.99</v>
      </c>
      <c r="BL260" s="244" t="s">
        <v>1352</v>
      </c>
      <c r="BM260" s="244" t="s">
        <v>1353</v>
      </c>
      <c r="BN260" s="244"/>
      <c r="BO260" s="244"/>
      <c r="BP260" s="244"/>
      <c r="BQ260" s="244"/>
      <c r="BR260" s="244"/>
      <c r="BS260" s="244"/>
      <c r="BT260" s="94">
        <v>3.1859999999999999</v>
      </c>
      <c r="BU260" s="94">
        <v>3.1859999999999999</v>
      </c>
      <c r="BV260" s="213">
        <v>6.0720000000000001</v>
      </c>
      <c r="BW260" s="92">
        <f>(BT260*BU260*BV260)/1728</f>
        <v>3.5668066499999998E-2</v>
      </c>
      <c r="BX260" s="94">
        <v>0.27</v>
      </c>
      <c r="BY260" s="221">
        <v>10</v>
      </c>
      <c r="BZ260" s="221">
        <v>6.75</v>
      </c>
      <c r="CA260" s="221">
        <v>6.62</v>
      </c>
      <c r="CB260" s="92">
        <f t="shared" si="70"/>
        <v>0.25859375000000001</v>
      </c>
      <c r="CC260" s="221">
        <f>BX260*CG260+0.25</f>
        <v>1.87</v>
      </c>
      <c r="CD260" s="303"/>
      <c r="CE260" s="303"/>
      <c r="CF260" s="212" t="s">
        <v>135</v>
      </c>
      <c r="CG260" s="213">
        <v>6</v>
      </c>
      <c r="CH260" s="213">
        <v>26</v>
      </c>
      <c r="CI260" s="213">
        <v>6</v>
      </c>
      <c r="CJ260" s="27">
        <f t="shared" si="71"/>
        <v>936</v>
      </c>
      <c r="CK260" s="27">
        <f t="shared" si="72"/>
        <v>341.72</v>
      </c>
      <c r="CL260" s="27" t="s">
        <v>317</v>
      </c>
      <c r="CM260" s="27" t="s">
        <v>137</v>
      </c>
      <c r="CN260" s="238"/>
      <c r="CO260" s="238"/>
      <c r="CP260" s="14"/>
      <c r="CQ260" s="14"/>
      <c r="CR260" s="14"/>
      <c r="CS260" s="14"/>
      <c r="CT260" s="14"/>
      <c r="CU260" s="14"/>
    </row>
    <row r="261" spans="1:99" s="262" customFormat="1" x14ac:dyDescent="0.25">
      <c r="A261" s="240">
        <v>41699</v>
      </c>
      <c r="B261" s="240"/>
      <c r="C261" s="212" t="s">
        <v>1354</v>
      </c>
      <c r="D261" s="212" t="s">
        <v>106</v>
      </c>
      <c r="E261" s="258" t="s">
        <v>1355</v>
      </c>
      <c r="F261" s="232" t="s">
        <v>1356</v>
      </c>
      <c r="G261" s="232"/>
      <c r="H261" s="232"/>
      <c r="I261" s="232"/>
      <c r="J261" s="223" t="s">
        <v>169</v>
      </c>
      <c r="K261" s="258" t="s">
        <v>1357</v>
      </c>
      <c r="L261" s="25"/>
      <c r="M261" s="25"/>
      <c r="N261" s="25"/>
      <c r="O261" s="26"/>
      <c r="P261" s="223"/>
      <c r="Q261" s="223"/>
      <c r="R261" s="223"/>
      <c r="S261" s="223"/>
      <c r="T261" s="223"/>
      <c r="U261" s="223"/>
      <c r="V261" s="223"/>
      <c r="W261" s="223"/>
      <c r="X261" s="223"/>
      <c r="Y261" s="223"/>
      <c r="Z261" s="223"/>
      <c r="AA261" s="223"/>
      <c r="AB261" s="223"/>
      <c r="AC261" s="223"/>
      <c r="AD261" s="223"/>
      <c r="AE261" s="223"/>
      <c r="AF261" s="223"/>
      <c r="AG261" s="223"/>
      <c r="AH261" s="223"/>
      <c r="AI261" s="223"/>
      <c r="AJ261" s="223"/>
      <c r="AK261" s="223"/>
      <c r="AL261" s="223"/>
      <c r="AM261" s="223"/>
      <c r="AN261" s="256"/>
      <c r="AO261" s="256"/>
      <c r="AP261" s="25"/>
      <c r="AQ261" s="256"/>
      <c r="AR261" s="257"/>
      <c r="AS261" s="256"/>
      <c r="AT261" s="257"/>
      <c r="AU261" s="212"/>
      <c r="AV261" s="212"/>
      <c r="AW261" s="212"/>
      <c r="AX261" s="212"/>
      <c r="AY261" s="212"/>
      <c r="AZ261" s="212"/>
      <c r="BA261" s="212"/>
      <c r="BB261" s="212"/>
      <c r="BC261" s="212"/>
      <c r="BD261" s="223"/>
      <c r="BE261" s="212"/>
      <c r="BF261" s="212"/>
      <c r="BG261" s="212"/>
      <c r="BH261" s="212"/>
      <c r="BI261" s="212"/>
      <c r="BJ261" s="242"/>
      <c r="BK261" s="119">
        <v>23.39</v>
      </c>
      <c r="BL261" s="244" t="s">
        <v>1358</v>
      </c>
      <c r="BM261" s="244" t="s">
        <v>1359</v>
      </c>
      <c r="BN261" s="244"/>
      <c r="BO261" s="244"/>
      <c r="BP261" s="244"/>
      <c r="BQ261" s="244"/>
      <c r="BR261" s="244"/>
      <c r="BS261" s="244"/>
      <c r="BT261" s="521" t="s">
        <v>876</v>
      </c>
      <c r="BU261" s="525"/>
      <c r="BV261" s="525"/>
      <c r="BW261" s="525"/>
      <c r="BX261" s="525"/>
      <c r="BY261" s="94">
        <v>11.75</v>
      </c>
      <c r="BZ261" s="94">
        <v>10.5</v>
      </c>
      <c r="CA261" s="94">
        <v>7.375</v>
      </c>
      <c r="CB261" s="92">
        <f t="shared" si="70"/>
        <v>0.52655707465277779</v>
      </c>
      <c r="CC261" s="94">
        <v>2.35</v>
      </c>
      <c r="CD261" s="302"/>
      <c r="CE261" s="302"/>
      <c r="CF261" s="212" t="s">
        <v>135</v>
      </c>
      <c r="CG261" s="212">
        <v>6</v>
      </c>
      <c r="CH261" s="212">
        <v>12</v>
      </c>
      <c r="CI261" s="212">
        <v>6</v>
      </c>
      <c r="CJ261" s="27">
        <f t="shared" si="71"/>
        <v>432</v>
      </c>
      <c r="CK261" s="27">
        <f t="shared" si="72"/>
        <v>219.20000000000002</v>
      </c>
      <c r="CL261" s="27" t="s">
        <v>140</v>
      </c>
      <c r="CM261" s="27" t="s">
        <v>137</v>
      </c>
      <c r="CN261" s="14"/>
      <c r="CO261" s="14"/>
      <c r="CP261" s="261"/>
      <c r="CQ261" s="261"/>
      <c r="CR261" s="261"/>
      <c r="CS261" s="261"/>
      <c r="CT261" s="261"/>
      <c r="CU261" s="261"/>
    </row>
    <row r="262" spans="1:99" s="262" customFormat="1" x14ac:dyDescent="0.25">
      <c r="A262" s="240">
        <v>41699</v>
      </c>
      <c r="B262" s="240"/>
      <c r="C262" s="213" t="s">
        <v>1360</v>
      </c>
      <c r="D262" s="213" t="s">
        <v>106</v>
      </c>
      <c r="E262" s="258" t="s">
        <v>1258</v>
      </c>
      <c r="F262" s="236" t="s">
        <v>1361</v>
      </c>
      <c r="G262" s="236"/>
      <c r="H262" s="236"/>
      <c r="I262" s="236"/>
      <c r="J262" s="236" t="s">
        <v>169</v>
      </c>
      <c r="K262" s="236" t="s">
        <v>1362</v>
      </c>
      <c r="L262" s="163"/>
      <c r="M262" s="25"/>
      <c r="N262" s="25"/>
      <c r="O262" s="26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223"/>
      <c r="AK262" s="223"/>
      <c r="AL262" s="223"/>
      <c r="AM262" s="223"/>
      <c r="AN262" s="256"/>
      <c r="AO262" s="256"/>
      <c r="AP262" s="25">
        <v>83570</v>
      </c>
      <c r="AQ262" s="256"/>
      <c r="AR262" s="257"/>
      <c r="AS262" s="256"/>
      <c r="AT262" s="257"/>
      <c r="AU262" s="232" t="s">
        <v>1363</v>
      </c>
      <c r="AV262" s="212" t="s">
        <v>1364</v>
      </c>
      <c r="AW262" s="212"/>
      <c r="AX262" s="212" t="s">
        <v>1365</v>
      </c>
      <c r="AY262" s="212"/>
      <c r="AZ262" s="212"/>
      <c r="BA262" s="212"/>
      <c r="BB262" s="212"/>
      <c r="BC262" s="212"/>
      <c r="BD262" s="223">
        <v>9570</v>
      </c>
      <c r="BE262" s="212" t="s">
        <v>1366</v>
      </c>
      <c r="BF262" s="212"/>
      <c r="BG262" s="212" t="s">
        <v>1367</v>
      </c>
      <c r="BH262" s="212"/>
      <c r="BI262" s="212" t="s">
        <v>1368</v>
      </c>
      <c r="BJ262" s="120" t="s">
        <v>1369</v>
      </c>
      <c r="BK262" s="119">
        <v>20.96</v>
      </c>
      <c r="BL262" s="244" t="s">
        <v>1370</v>
      </c>
      <c r="BM262" s="244" t="s">
        <v>1371</v>
      </c>
      <c r="BN262" s="244"/>
      <c r="BO262" s="244"/>
      <c r="BP262" s="244"/>
      <c r="BQ262" s="244"/>
      <c r="BR262" s="244"/>
      <c r="BS262" s="244"/>
      <c r="BT262" s="221">
        <v>7.7859999999999996</v>
      </c>
      <c r="BU262" s="221">
        <v>2.536</v>
      </c>
      <c r="BV262" s="221">
        <v>9.0719999999999992</v>
      </c>
      <c r="BW262" s="92">
        <f>(BV262*BU262*BT262)/1728</f>
        <v>0.10366280399999998</v>
      </c>
      <c r="BX262" s="221">
        <v>0.3</v>
      </c>
      <c r="BY262" s="221">
        <v>9.75</v>
      </c>
      <c r="BZ262" s="221">
        <v>8.18</v>
      </c>
      <c r="CA262" s="221">
        <v>8.5</v>
      </c>
      <c r="CB262" s="92">
        <f t="shared" si="70"/>
        <v>0.39231336805555556</v>
      </c>
      <c r="CC262" s="94">
        <f>BX262*CG262+0.25</f>
        <v>1.1499999999999999</v>
      </c>
      <c r="CD262" s="302"/>
      <c r="CE262" s="302"/>
      <c r="CF262" s="212" t="s">
        <v>135</v>
      </c>
      <c r="CG262" s="213">
        <v>3</v>
      </c>
      <c r="CH262" s="213">
        <v>20</v>
      </c>
      <c r="CI262" s="213">
        <v>5</v>
      </c>
      <c r="CJ262" s="27">
        <f t="shared" si="71"/>
        <v>300</v>
      </c>
      <c r="CK262" s="27">
        <f t="shared" si="72"/>
        <v>165</v>
      </c>
      <c r="CL262" s="27" t="s">
        <v>140</v>
      </c>
      <c r="CM262" s="27" t="s">
        <v>137</v>
      </c>
      <c r="CN262" s="14"/>
      <c r="CO262" s="14"/>
      <c r="CP262" s="261"/>
      <c r="CQ262" s="261"/>
      <c r="CR262" s="261"/>
      <c r="CS262" s="261"/>
      <c r="CT262" s="261"/>
      <c r="CU262" s="261"/>
    </row>
    <row r="263" spans="1:99" s="262" customFormat="1" x14ac:dyDescent="0.25">
      <c r="A263" s="240">
        <v>41699</v>
      </c>
      <c r="B263" s="240"/>
      <c r="C263" s="213" t="s">
        <v>1372</v>
      </c>
      <c r="D263" s="213" t="s">
        <v>106</v>
      </c>
      <c r="E263" s="258" t="s">
        <v>1258</v>
      </c>
      <c r="F263" s="236" t="s">
        <v>1373</v>
      </c>
      <c r="G263" s="236"/>
      <c r="H263" s="236"/>
      <c r="I263" s="236"/>
      <c r="J263" s="236" t="s">
        <v>400</v>
      </c>
      <c r="K263" s="236" t="s">
        <v>1374</v>
      </c>
      <c r="L263" s="163" t="s">
        <v>904</v>
      </c>
      <c r="M263" s="25" t="s">
        <v>1375</v>
      </c>
      <c r="N263" s="25"/>
      <c r="O263" s="26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  <c r="AA263" s="223"/>
      <c r="AB263" s="223"/>
      <c r="AC263" s="223"/>
      <c r="AD263" s="223"/>
      <c r="AE263" s="223"/>
      <c r="AF263" s="223"/>
      <c r="AG263" s="223"/>
      <c r="AH263" s="223"/>
      <c r="AI263" s="223"/>
      <c r="AJ263" s="223"/>
      <c r="AK263" s="223"/>
      <c r="AL263" s="223"/>
      <c r="AM263" s="223"/>
      <c r="AN263" s="256"/>
      <c r="AO263" s="256"/>
      <c r="AP263" s="25">
        <v>83740</v>
      </c>
      <c r="AQ263" s="256"/>
      <c r="AR263" s="257"/>
      <c r="AS263" s="256"/>
      <c r="AT263" s="257"/>
      <c r="AU263" s="232" t="s">
        <v>1376</v>
      </c>
      <c r="AV263" s="212" t="s">
        <v>1377</v>
      </c>
      <c r="AW263" s="212" t="s">
        <v>1378</v>
      </c>
      <c r="AX263" s="212" t="s">
        <v>1379</v>
      </c>
      <c r="AY263" s="212"/>
      <c r="AZ263" s="212"/>
      <c r="BA263" s="212"/>
      <c r="BB263" s="212"/>
      <c r="BC263" s="212"/>
      <c r="BD263" s="223">
        <v>9740</v>
      </c>
      <c r="BE263" s="212" t="s">
        <v>1380</v>
      </c>
      <c r="BF263" s="212" t="s">
        <v>1381</v>
      </c>
      <c r="BG263" s="212" t="s">
        <v>1382</v>
      </c>
      <c r="BH263" s="212"/>
      <c r="BI263" s="212" t="s">
        <v>1383</v>
      </c>
      <c r="BJ263" s="120">
        <v>49740</v>
      </c>
      <c r="BK263" s="119">
        <v>17.04</v>
      </c>
      <c r="BL263" s="244" t="s">
        <v>1384</v>
      </c>
      <c r="BM263" s="244" t="s">
        <v>1385</v>
      </c>
      <c r="BN263" s="244"/>
      <c r="BO263" s="244"/>
      <c r="BP263" s="244"/>
      <c r="BQ263" s="244"/>
      <c r="BR263" s="244"/>
      <c r="BS263" s="244"/>
      <c r="BT263" s="221">
        <v>6.5359999999999996</v>
      </c>
      <c r="BU263" s="221">
        <v>1.786</v>
      </c>
      <c r="BV263" s="221">
        <v>13.321999999999999</v>
      </c>
      <c r="BW263" s="92">
        <f>(BV263*BU263*BT263)/1728</f>
        <v>8.9995167425925907E-2</v>
      </c>
      <c r="BX263" s="94">
        <f>0.404</f>
        <v>0.40400000000000003</v>
      </c>
      <c r="BY263" s="94">
        <v>14</v>
      </c>
      <c r="BZ263" s="94">
        <v>7.75</v>
      </c>
      <c r="CA263" s="94">
        <v>6.5</v>
      </c>
      <c r="CB263" s="92">
        <f t="shared" si="70"/>
        <v>0.40813078703703703</v>
      </c>
      <c r="CC263" s="221">
        <f>BX263*CG263+0.25</f>
        <v>1.4620000000000002</v>
      </c>
      <c r="CD263" s="303"/>
      <c r="CE263" s="303"/>
      <c r="CF263" s="213" t="s">
        <v>135</v>
      </c>
      <c r="CG263" s="213">
        <v>3</v>
      </c>
      <c r="CH263" s="213">
        <v>15</v>
      </c>
      <c r="CI263" s="213">
        <v>6</v>
      </c>
      <c r="CJ263" s="27">
        <f t="shared" si="71"/>
        <v>270</v>
      </c>
      <c r="CK263" s="27">
        <f t="shared" si="72"/>
        <v>181.58</v>
      </c>
      <c r="CL263" s="212" t="s">
        <v>150</v>
      </c>
      <c r="CM263" s="27" t="s">
        <v>137</v>
      </c>
      <c r="CN263" s="14"/>
      <c r="CO263" s="14"/>
      <c r="CP263" s="261"/>
      <c r="CQ263" s="261"/>
      <c r="CR263" s="261"/>
      <c r="CS263" s="261"/>
      <c r="CT263" s="261"/>
      <c r="CU263" s="261"/>
    </row>
    <row r="264" spans="1:99" s="262" customFormat="1" x14ac:dyDescent="0.25">
      <c r="A264" s="240">
        <v>41699</v>
      </c>
      <c r="B264" s="240"/>
      <c r="C264" s="213" t="s">
        <v>1386</v>
      </c>
      <c r="D264" s="212" t="s">
        <v>106</v>
      </c>
      <c r="E264" s="258" t="s">
        <v>1258</v>
      </c>
      <c r="F264" s="236" t="s">
        <v>1387</v>
      </c>
      <c r="G264" s="236"/>
      <c r="H264" s="236"/>
      <c r="I264" s="236"/>
      <c r="J264" s="223" t="s">
        <v>169</v>
      </c>
      <c r="K264" s="236" t="s">
        <v>1388</v>
      </c>
      <c r="L264" s="163"/>
      <c r="M264" s="25"/>
      <c r="N264" s="25"/>
      <c r="O264" s="26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  <c r="AA264" s="223"/>
      <c r="AB264" s="223"/>
      <c r="AC264" s="223"/>
      <c r="AD264" s="223"/>
      <c r="AE264" s="223"/>
      <c r="AF264" s="223"/>
      <c r="AG264" s="223"/>
      <c r="AH264" s="223"/>
      <c r="AI264" s="223"/>
      <c r="AJ264" s="223"/>
      <c r="AK264" s="223"/>
      <c r="AL264" s="223"/>
      <c r="AM264" s="223"/>
      <c r="AN264" s="25" t="s">
        <v>1389</v>
      </c>
      <c r="AO264" s="256"/>
      <c r="AP264" s="25">
        <v>83038</v>
      </c>
      <c r="AQ264" s="256"/>
      <c r="AR264" s="257"/>
      <c r="AS264" s="256"/>
      <c r="AT264" s="257"/>
      <c r="AU264" s="232" t="s">
        <v>1390</v>
      </c>
      <c r="AV264" s="120" t="s">
        <v>1391</v>
      </c>
      <c r="AW264" s="212"/>
      <c r="AX264" s="25" t="s">
        <v>560</v>
      </c>
      <c r="AY264" s="25"/>
      <c r="AZ264" s="212"/>
      <c r="BA264" s="212"/>
      <c r="BB264" s="212"/>
      <c r="BC264" s="212"/>
      <c r="BD264" s="25" t="s">
        <v>1392</v>
      </c>
      <c r="BE264" s="212" t="s">
        <v>1393</v>
      </c>
      <c r="BF264" s="25" t="s">
        <v>1394</v>
      </c>
      <c r="BG264" s="212" t="s">
        <v>1395</v>
      </c>
      <c r="BH264" s="212"/>
      <c r="BI264" s="212" t="s">
        <v>1396</v>
      </c>
      <c r="BJ264" s="120" t="s">
        <v>1397</v>
      </c>
      <c r="BK264" s="119">
        <v>11.96</v>
      </c>
      <c r="BL264" s="244" t="s">
        <v>1398</v>
      </c>
      <c r="BM264" s="244" t="s">
        <v>1399</v>
      </c>
      <c r="BN264" s="244"/>
      <c r="BO264" s="244"/>
      <c r="BP264" s="244"/>
      <c r="BQ264" s="244"/>
      <c r="BR264" s="244"/>
      <c r="BS264" s="244"/>
      <c r="BT264" s="221">
        <v>6.5359999999999996</v>
      </c>
      <c r="BU264" s="221">
        <v>1.6559999999999999</v>
      </c>
      <c r="BV264" s="221">
        <v>11.071999999999999</v>
      </c>
      <c r="BW264" s="92">
        <f>(BV264*BU264*BT264)/1728</f>
        <v>6.9351317333333315E-2</v>
      </c>
      <c r="BX264" s="221">
        <v>0.31</v>
      </c>
      <c r="BY264" s="221">
        <v>11.93</v>
      </c>
      <c r="BZ264" s="221">
        <v>8</v>
      </c>
      <c r="CA264" s="221">
        <v>6</v>
      </c>
      <c r="CB264" s="92">
        <f t="shared" si="70"/>
        <v>0.3313888888888889</v>
      </c>
      <c r="CC264" s="94">
        <f>BX264*CG264+0.25</f>
        <v>1.18</v>
      </c>
      <c r="CD264" s="302"/>
      <c r="CE264" s="302"/>
      <c r="CF264" s="212" t="s">
        <v>135</v>
      </c>
      <c r="CG264" s="213">
        <v>3</v>
      </c>
      <c r="CH264" s="213">
        <v>20</v>
      </c>
      <c r="CI264" s="213">
        <v>7</v>
      </c>
      <c r="CJ264" s="27">
        <f t="shared" si="71"/>
        <v>420</v>
      </c>
      <c r="CK264" s="27">
        <f t="shared" si="72"/>
        <v>215.2</v>
      </c>
      <c r="CL264" s="27" t="s">
        <v>136</v>
      </c>
      <c r="CM264" s="27" t="s">
        <v>137</v>
      </c>
      <c r="CN264" s="14"/>
      <c r="CO264" s="14"/>
      <c r="CP264" s="261"/>
      <c r="CQ264" s="261"/>
      <c r="CR264" s="261"/>
      <c r="CS264" s="261"/>
      <c r="CT264" s="261"/>
      <c r="CU264" s="261"/>
    </row>
    <row r="265" spans="1:99" s="262" customFormat="1" x14ac:dyDescent="0.25">
      <c r="A265" s="240">
        <v>41699</v>
      </c>
      <c r="B265" s="240"/>
      <c r="C265" s="213" t="s">
        <v>1400</v>
      </c>
      <c r="D265" s="213" t="s">
        <v>106</v>
      </c>
      <c r="E265" s="258" t="s">
        <v>1355</v>
      </c>
      <c r="F265" s="232" t="s">
        <v>1401</v>
      </c>
      <c r="G265" s="232"/>
      <c r="H265" s="232"/>
      <c r="I265" s="232"/>
      <c r="J265" s="223" t="s">
        <v>419</v>
      </c>
      <c r="K265" s="236" t="s">
        <v>1402</v>
      </c>
      <c r="L265" s="163"/>
      <c r="M265" s="25"/>
      <c r="N265" s="25"/>
      <c r="O265" s="26"/>
      <c r="P265" s="223"/>
      <c r="Q265" s="223"/>
      <c r="R265" s="223"/>
      <c r="S265" s="223"/>
      <c r="T265" s="223"/>
      <c r="U265" s="223"/>
      <c r="V265" s="223"/>
      <c r="W265" s="223"/>
      <c r="X265" s="223"/>
      <c r="Y265" s="223"/>
      <c r="Z265" s="223"/>
      <c r="AA265" s="223"/>
      <c r="AB265" s="223"/>
      <c r="AC265" s="223"/>
      <c r="AD265" s="223"/>
      <c r="AE265" s="223"/>
      <c r="AF265" s="223"/>
      <c r="AG265" s="223"/>
      <c r="AH265" s="223"/>
      <c r="AI265" s="223"/>
      <c r="AJ265" s="223"/>
      <c r="AK265" s="223"/>
      <c r="AL265" s="223"/>
      <c r="AM265" s="223"/>
      <c r="AN265" s="256"/>
      <c r="AO265" s="256"/>
      <c r="AP265" s="25">
        <v>83369</v>
      </c>
      <c r="AQ265" s="256"/>
      <c r="AR265" s="257"/>
      <c r="AS265" s="256"/>
      <c r="AT265" s="257"/>
      <c r="AU265" s="212"/>
      <c r="AV265" s="120" t="s">
        <v>1403</v>
      </c>
      <c r="AW265" s="212"/>
      <c r="AX265" s="212"/>
      <c r="AY265" s="212"/>
      <c r="AZ265" s="212"/>
      <c r="BA265" s="212" t="s">
        <v>1404</v>
      </c>
      <c r="BB265" s="212"/>
      <c r="BC265" s="212"/>
      <c r="BD265" s="223"/>
      <c r="BE265" s="212"/>
      <c r="BF265" s="212" t="s">
        <v>1400</v>
      </c>
      <c r="BG265" s="212"/>
      <c r="BH265" s="212"/>
      <c r="BI265" s="212"/>
      <c r="BJ265" s="212" t="s">
        <v>1405</v>
      </c>
      <c r="BK265" s="119">
        <v>17.37</v>
      </c>
      <c r="BL265" s="244" t="s">
        <v>1406</v>
      </c>
      <c r="BM265" s="244" t="s">
        <v>1407</v>
      </c>
      <c r="BN265" s="244"/>
      <c r="BO265" s="244"/>
      <c r="BP265" s="244"/>
      <c r="BQ265" s="244"/>
      <c r="BR265" s="244"/>
      <c r="BS265" s="244"/>
      <c r="BT265" s="521" t="s">
        <v>876</v>
      </c>
      <c r="BU265" s="525"/>
      <c r="BV265" s="525"/>
      <c r="BW265" s="525"/>
      <c r="BX265" s="525"/>
      <c r="BY265" s="221">
        <v>12.25</v>
      </c>
      <c r="BZ265" s="221">
        <v>9</v>
      </c>
      <c r="CA265" s="221">
        <v>7.88</v>
      </c>
      <c r="CB265" s="92">
        <f t="shared" si="70"/>
        <v>0.50276041666666671</v>
      </c>
      <c r="CC265" s="221">
        <v>2.71</v>
      </c>
      <c r="CD265" s="303"/>
      <c r="CE265" s="303"/>
      <c r="CF265" s="212" t="s">
        <v>135</v>
      </c>
      <c r="CG265" s="213">
        <v>6</v>
      </c>
      <c r="CH265" s="213">
        <v>16</v>
      </c>
      <c r="CI265" s="213">
        <v>5</v>
      </c>
      <c r="CJ265" s="27">
        <f t="shared" si="71"/>
        <v>480</v>
      </c>
      <c r="CK265" s="27">
        <f t="shared" si="72"/>
        <v>266.8</v>
      </c>
      <c r="CL265" s="27" t="s">
        <v>140</v>
      </c>
      <c r="CM265" s="27" t="s">
        <v>137</v>
      </c>
      <c r="CN265" s="14"/>
      <c r="CO265" s="14"/>
      <c r="CP265" s="261"/>
      <c r="CQ265" s="261"/>
      <c r="CR265" s="261"/>
      <c r="CS265" s="261"/>
      <c r="CT265" s="261"/>
      <c r="CU265" s="261"/>
    </row>
    <row r="266" spans="1:99" s="262" customFormat="1" x14ac:dyDescent="0.25">
      <c r="A266" s="240">
        <v>41699</v>
      </c>
      <c r="B266" s="240"/>
      <c r="C266" s="213" t="s">
        <v>1408</v>
      </c>
      <c r="D266" s="212" t="s">
        <v>106</v>
      </c>
      <c r="E266" s="258" t="s">
        <v>1355</v>
      </c>
      <c r="F266" s="232" t="s">
        <v>1409</v>
      </c>
      <c r="G266" s="232"/>
      <c r="H266" s="232"/>
      <c r="I266" s="232"/>
      <c r="J266" s="236" t="s">
        <v>334</v>
      </c>
      <c r="K266" s="212" t="s">
        <v>1410</v>
      </c>
      <c r="L266" s="236" t="s">
        <v>334</v>
      </c>
      <c r="M266" s="25" t="s">
        <v>1411</v>
      </c>
      <c r="N266" s="25"/>
      <c r="O266" s="26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3"/>
      <c r="AE266" s="223"/>
      <c r="AF266" s="223"/>
      <c r="AG266" s="223"/>
      <c r="AH266" s="223"/>
      <c r="AI266" s="223"/>
      <c r="AJ266" s="223"/>
      <c r="AK266" s="223"/>
      <c r="AL266" s="223"/>
      <c r="AM266" s="223"/>
      <c r="AN266" s="256"/>
      <c r="AO266" s="256"/>
      <c r="AP266" s="25"/>
      <c r="AQ266" s="256"/>
      <c r="AR266" s="257"/>
      <c r="AS266" s="256"/>
      <c r="AT266" s="257"/>
      <c r="AU266" s="25" t="s">
        <v>1412</v>
      </c>
      <c r="AV266" s="120" t="s">
        <v>1413</v>
      </c>
      <c r="AW266" s="25" t="s">
        <v>1414</v>
      </c>
      <c r="AX266" s="212"/>
      <c r="AY266" s="212"/>
      <c r="AZ266" s="212"/>
      <c r="BA266" s="25" t="s">
        <v>1415</v>
      </c>
      <c r="BB266" s="212"/>
      <c r="BC266" s="212"/>
      <c r="BD266" s="25" t="s">
        <v>1416</v>
      </c>
      <c r="BE266" s="212" t="s">
        <v>1417</v>
      </c>
      <c r="BF266" s="25" t="s">
        <v>1408</v>
      </c>
      <c r="BG266" s="212" t="s">
        <v>1417</v>
      </c>
      <c r="BH266" s="212"/>
      <c r="BI266" s="212" t="s">
        <v>1418</v>
      </c>
      <c r="BJ266" s="212" t="s">
        <v>1419</v>
      </c>
      <c r="BK266" s="119">
        <v>30.76</v>
      </c>
      <c r="BL266" s="244" t="s">
        <v>1420</v>
      </c>
      <c r="BM266" s="244" t="s">
        <v>1421</v>
      </c>
      <c r="BN266" s="244"/>
      <c r="BO266" s="244"/>
      <c r="BP266" s="244"/>
      <c r="BQ266" s="244"/>
      <c r="BR266" s="244"/>
      <c r="BS266" s="244"/>
      <c r="BT266" s="521" t="s">
        <v>876</v>
      </c>
      <c r="BU266" s="525"/>
      <c r="BV266" s="525"/>
      <c r="BW266" s="525"/>
      <c r="BX266" s="525"/>
      <c r="BY266" s="221">
        <v>13.25</v>
      </c>
      <c r="BZ266" s="221">
        <v>10</v>
      </c>
      <c r="CA266" s="221">
        <v>6.25</v>
      </c>
      <c r="CB266" s="92">
        <f t="shared" si="70"/>
        <v>0.47923900462962965</v>
      </c>
      <c r="CC266" s="221">
        <v>1.27</v>
      </c>
      <c r="CD266" s="303"/>
      <c r="CE266" s="303"/>
      <c r="CF266" s="212" t="s">
        <v>135</v>
      </c>
      <c r="CG266" s="213">
        <v>6</v>
      </c>
      <c r="CH266" s="213">
        <v>14</v>
      </c>
      <c r="CI266" s="213">
        <v>7</v>
      </c>
      <c r="CJ266" s="27">
        <f t="shared" si="71"/>
        <v>588</v>
      </c>
      <c r="CK266" s="27">
        <f t="shared" si="72"/>
        <v>174.46</v>
      </c>
      <c r="CL266" s="27" t="s">
        <v>140</v>
      </c>
      <c r="CM266" s="27" t="s">
        <v>137</v>
      </c>
      <c r="CN266" s="14"/>
      <c r="CO266" s="14"/>
      <c r="CP266" s="261"/>
      <c r="CQ266" s="261"/>
      <c r="CR266" s="261"/>
      <c r="CS266" s="261"/>
      <c r="CT266" s="261"/>
      <c r="CU266" s="261"/>
    </row>
    <row r="267" spans="1:99" s="262" customFormat="1" x14ac:dyDescent="0.25">
      <c r="A267" s="240">
        <v>41699</v>
      </c>
      <c r="B267" s="240"/>
      <c r="C267" s="213" t="s">
        <v>1422</v>
      </c>
      <c r="D267" s="213" t="s">
        <v>106</v>
      </c>
      <c r="E267" s="258" t="s">
        <v>1355</v>
      </c>
      <c r="F267" s="232" t="s">
        <v>1423</v>
      </c>
      <c r="G267" s="232"/>
      <c r="H267" s="232"/>
      <c r="I267" s="232"/>
      <c r="J267" s="223" t="s">
        <v>130</v>
      </c>
      <c r="K267" s="236">
        <v>2048300018</v>
      </c>
      <c r="L267" s="163"/>
      <c r="M267" s="25"/>
      <c r="N267" s="25"/>
      <c r="O267" s="26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223"/>
      <c r="AK267" s="223"/>
      <c r="AL267" s="223"/>
      <c r="AM267" s="223"/>
      <c r="AN267" s="256"/>
      <c r="AO267" s="256"/>
      <c r="AP267" s="25"/>
      <c r="AQ267" s="256"/>
      <c r="AR267" s="257"/>
      <c r="AS267" s="256"/>
      <c r="AT267" s="257"/>
      <c r="AU267" s="212"/>
      <c r="AV267" s="120" t="s">
        <v>1424</v>
      </c>
      <c r="AW267" s="25" t="s">
        <v>1425</v>
      </c>
      <c r="AX267" s="212"/>
      <c r="AY267" s="212"/>
      <c r="AZ267" s="212"/>
      <c r="BA267" s="25" t="s">
        <v>1426</v>
      </c>
      <c r="BB267" s="212"/>
      <c r="BC267" s="212"/>
      <c r="BD267" s="223">
        <v>9357</v>
      </c>
      <c r="BE267" s="212" t="s">
        <v>1427</v>
      </c>
      <c r="BF267" s="25" t="s">
        <v>1422</v>
      </c>
      <c r="BG267" s="212" t="s">
        <v>1428</v>
      </c>
      <c r="BH267" s="212"/>
      <c r="BI267" s="212" t="s">
        <v>1429</v>
      </c>
      <c r="BJ267" s="212" t="s">
        <v>1430</v>
      </c>
      <c r="BK267" s="119">
        <v>28.49</v>
      </c>
      <c r="BL267" s="244" t="s">
        <v>1431</v>
      </c>
      <c r="BM267" s="244" t="s">
        <v>1432</v>
      </c>
      <c r="BN267" s="244"/>
      <c r="BO267" s="244"/>
      <c r="BP267" s="244"/>
      <c r="BQ267" s="244"/>
      <c r="BR267" s="244"/>
      <c r="BS267" s="244"/>
      <c r="BT267" s="521" t="s">
        <v>876</v>
      </c>
      <c r="BU267" s="525"/>
      <c r="BV267" s="525"/>
      <c r="BW267" s="525"/>
      <c r="BX267" s="525"/>
      <c r="BY267" s="221">
        <v>22.12</v>
      </c>
      <c r="BZ267" s="221">
        <v>12.62</v>
      </c>
      <c r="CA267" s="221">
        <v>12.87</v>
      </c>
      <c r="CB267" s="92">
        <f t="shared" si="70"/>
        <v>2.0791187083333331</v>
      </c>
      <c r="CC267" s="221">
        <v>5.86</v>
      </c>
      <c r="CD267" s="303"/>
      <c r="CE267" s="303"/>
      <c r="CF267" s="212" t="s">
        <v>135</v>
      </c>
      <c r="CG267" s="213">
        <v>6</v>
      </c>
      <c r="CH267" s="213">
        <v>6</v>
      </c>
      <c r="CI267" s="213">
        <v>3</v>
      </c>
      <c r="CJ267" s="27">
        <f t="shared" si="71"/>
        <v>108</v>
      </c>
      <c r="CK267" s="27">
        <f t="shared" si="72"/>
        <v>155.48000000000002</v>
      </c>
      <c r="CL267" s="27" t="s">
        <v>140</v>
      </c>
      <c r="CM267" s="27" t="s">
        <v>137</v>
      </c>
      <c r="CN267" s="14"/>
      <c r="CO267" s="14"/>
      <c r="CP267" s="261"/>
      <c r="CQ267" s="261"/>
      <c r="CR267" s="261"/>
      <c r="CS267" s="261"/>
      <c r="CT267" s="261"/>
      <c r="CU267" s="261"/>
    </row>
    <row r="268" spans="1:99" s="262" customFormat="1" x14ac:dyDescent="0.25">
      <c r="A268" s="240">
        <v>41699</v>
      </c>
      <c r="B268" s="240"/>
      <c r="C268" s="213" t="s">
        <v>1433</v>
      </c>
      <c r="D268" s="212" t="s">
        <v>106</v>
      </c>
      <c r="E268" s="258" t="s">
        <v>1355</v>
      </c>
      <c r="F268" s="232" t="s">
        <v>1434</v>
      </c>
      <c r="G268" s="232"/>
      <c r="H268" s="232"/>
      <c r="I268" s="232"/>
      <c r="J268" s="223" t="s">
        <v>270</v>
      </c>
      <c r="K268" s="236" t="s">
        <v>1435</v>
      </c>
      <c r="L268" s="223" t="s">
        <v>270</v>
      </c>
      <c r="M268" s="25" t="s">
        <v>1436</v>
      </c>
      <c r="N268" s="25"/>
      <c r="O268" s="26"/>
      <c r="P268" s="223"/>
      <c r="Q268" s="223"/>
      <c r="R268" s="223"/>
      <c r="S268" s="223"/>
      <c r="T268" s="223"/>
      <c r="U268" s="223"/>
      <c r="V268" s="223"/>
      <c r="W268" s="223"/>
      <c r="X268" s="223"/>
      <c r="Y268" s="223"/>
      <c r="Z268" s="223"/>
      <c r="AA268" s="223"/>
      <c r="AB268" s="223"/>
      <c r="AC268" s="223"/>
      <c r="AD268" s="223"/>
      <c r="AE268" s="223"/>
      <c r="AF268" s="223"/>
      <c r="AG268" s="223"/>
      <c r="AH268" s="223"/>
      <c r="AI268" s="223"/>
      <c r="AJ268" s="223"/>
      <c r="AK268" s="223"/>
      <c r="AL268" s="223"/>
      <c r="AM268" s="223"/>
      <c r="AN268" s="256"/>
      <c r="AO268" s="256"/>
      <c r="AP268" s="25">
        <v>89300</v>
      </c>
      <c r="AQ268" s="256"/>
      <c r="AR268" s="257"/>
      <c r="AS268" s="256"/>
      <c r="AT268" s="257"/>
      <c r="AU268" s="232" t="s">
        <v>1437</v>
      </c>
      <c r="AV268" s="212"/>
      <c r="AW268" s="212"/>
      <c r="AX268" s="212"/>
      <c r="AY268" s="212"/>
      <c r="AZ268" s="212"/>
      <c r="BA268" s="212"/>
      <c r="BB268" s="212"/>
      <c r="BC268" s="212"/>
      <c r="BD268" s="223">
        <v>4300</v>
      </c>
      <c r="BE268" s="212" t="s">
        <v>1438</v>
      </c>
      <c r="BF268" s="25" t="s">
        <v>1433</v>
      </c>
      <c r="BG268" s="212" t="s">
        <v>1438</v>
      </c>
      <c r="BH268" s="212"/>
      <c r="BI268" s="212" t="s">
        <v>1439</v>
      </c>
      <c r="BJ268" s="212" t="s">
        <v>1440</v>
      </c>
      <c r="BK268" s="119">
        <v>25.57</v>
      </c>
      <c r="BL268" s="244" t="s">
        <v>1441</v>
      </c>
      <c r="BM268" s="244" t="s">
        <v>1442</v>
      </c>
      <c r="BN268" s="244"/>
      <c r="BO268" s="244"/>
      <c r="BP268" s="244"/>
      <c r="BQ268" s="244"/>
      <c r="BR268" s="244"/>
      <c r="BS268" s="244"/>
      <c r="BT268" s="521" t="s">
        <v>876</v>
      </c>
      <c r="BU268" s="525"/>
      <c r="BV268" s="525"/>
      <c r="BW268" s="525"/>
      <c r="BX268" s="525"/>
      <c r="BY268" s="221">
        <v>12</v>
      </c>
      <c r="BZ268" s="221">
        <v>10.37</v>
      </c>
      <c r="CA268" s="221">
        <v>10.62</v>
      </c>
      <c r="CB268" s="92">
        <f t="shared" si="70"/>
        <v>0.76478749999999995</v>
      </c>
      <c r="CC268" s="221">
        <v>1.9</v>
      </c>
      <c r="CD268" s="303"/>
      <c r="CE268" s="303"/>
      <c r="CF268" s="212" t="s">
        <v>135</v>
      </c>
      <c r="CG268" s="213">
        <v>6</v>
      </c>
      <c r="CH268" s="213">
        <v>12</v>
      </c>
      <c r="CI268" s="213">
        <v>4</v>
      </c>
      <c r="CJ268" s="27">
        <f t="shared" si="71"/>
        <v>288</v>
      </c>
      <c r="CK268" s="27">
        <f t="shared" si="72"/>
        <v>141.19999999999999</v>
      </c>
      <c r="CL268" s="27" t="s">
        <v>140</v>
      </c>
      <c r="CM268" s="27" t="s">
        <v>137</v>
      </c>
      <c r="CN268" s="14"/>
      <c r="CO268" s="14"/>
      <c r="CP268" s="261"/>
      <c r="CQ268" s="261"/>
      <c r="CR268" s="261"/>
      <c r="CS268" s="261"/>
      <c r="CT268" s="261"/>
      <c r="CU268" s="261"/>
    </row>
    <row r="269" spans="1:99" s="262" customFormat="1" x14ac:dyDescent="0.25">
      <c r="A269" s="240">
        <v>41699</v>
      </c>
      <c r="B269" s="240"/>
      <c r="C269" s="213" t="s">
        <v>1443</v>
      </c>
      <c r="D269" s="213" t="s">
        <v>106</v>
      </c>
      <c r="E269" s="258" t="s">
        <v>1355</v>
      </c>
      <c r="F269" s="232" t="s">
        <v>1444</v>
      </c>
      <c r="G269" s="232"/>
      <c r="H269" s="232"/>
      <c r="I269" s="232"/>
      <c r="J269" s="223" t="s">
        <v>125</v>
      </c>
      <c r="K269" s="236">
        <v>64316945586</v>
      </c>
      <c r="L269" s="163"/>
      <c r="M269" s="25"/>
      <c r="N269" s="25"/>
      <c r="O269" s="26"/>
      <c r="P269" s="223"/>
      <c r="Q269" s="223"/>
      <c r="R269" s="223"/>
      <c r="S269" s="223"/>
      <c r="T269" s="223"/>
      <c r="U269" s="223"/>
      <c r="V269" s="223"/>
      <c r="W269" s="223"/>
      <c r="X269" s="223"/>
      <c r="Y269" s="223"/>
      <c r="Z269" s="223"/>
      <c r="AA269" s="223"/>
      <c r="AB269" s="223"/>
      <c r="AC269" s="223"/>
      <c r="AD269" s="223"/>
      <c r="AE269" s="223"/>
      <c r="AF269" s="223"/>
      <c r="AG269" s="223"/>
      <c r="AH269" s="223"/>
      <c r="AI269" s="223"/>
      <c r="AJ269" s="223"/>
      <c r="AK269" s="223"/>
      <c r="AL269" s="223"/>
      <c r="AM269" s="223"/>
      <c r="AN269" s="256"/>
      <c r="AO269" s="256"/>
      <c r="AP269" s="25">
        <v>83585</v>
      </c>
      <c r="AQ269" s="256"/>
      <c r="AR269" s="257"/>
      <c r="AS269" s="256"/>
      <c r="AT269" s="257"/>
      <c r="AU269" s="212"/>
      <c r="AV269" s="120" t="s">
        <v>1445</v>
      </c>
      <c r="AW269" s="25" t="s">
        <v>1446</v>
      </c>
      <c r="AX269" s="212"/>
      <c r="AY269" s="212"/>
      <c r="AZ269" s="212"/>
      <c r="BA269" s="25" t="s">
        <v>1447</v>
      </c>
      <c r="BB269" s="212"/>
      <c r="BC269" s="212"/>
      <c r="BD269" s="25" t="s">
        <v>1448</v>
      </c>
      <c r="BE269" s="212" t="s">
        <v>1449</v>
      </c>
      <c r="BF269" s="212"/>
      <c r="BG269" s="212"/>
      <c r="BH269" s="212"/>
      <c r="BI269" s="212"/>
      <c r="BJ269" s="212" t="s">
        <v>1450</v>
      </c>
      <c r="BK269" s="119">
        <v>72.489999999999995</v>
      </c>
      <c r="BL269" s="244" t="s">
        <v>1451</v>
      </c>
      <c r="BM269" s="244" t="s">
        <v>1452</v>
      </c>
      <c r="BN269" s="244"/>
      <c r="BO269" s="244"/>
      <c r="BP269" s="244"/>
      <c r="BQ269" s="244"/>
      <c r="BR269" s="244"/>
      <c r="BS269" s="244"/>
      <c r="BT269" s="521" t="s">
        <v>876</v>
      </c>
      <c r="BU269" s="525"/>
      <c r="BV269" s="525"/>
      <c r="BW269" s="525"/>
      <c r="BX269" s="525"/>
      <c r="BY269" s="221">
        <v>16.37</v>
      </c>
      <c r="BZ269" s="221">
        <v>12.5</v>
      </c>
      <c r="CA269" s="221">
        <v>12.75</v>
      </c>
      <c r="CB269" s="92">
        <f t="shared" si="70"/>
        <v>1.5098198784722223</v>
      </c>
      <c r="CC269" s="221">
        <v>6.58</v>
      </c>
      <c r="CD269" s="303"/>
      <c r="CE269" s="303"/>
      <c r="CF269" s="212" t="s">
        <v>135</v>
      </c>
      <c r="CG269" s="213">
        <v>6</v>
      </c>
      <c r="CH269" s="213">
        <v>8</v>
      </c>
      <c r="CI269" s="213">
        <v>3</v>
      </c>
      <c r="CJ269" s="27">
        <f t="shared" si="71"/>
        <v>144</v>
      </c>
      <c r="CK269" s="27">
        <f t="shared" si="72"/>
        <v>207.92000000000002</v>
      </c>
      <c r="CL269" s="27" t="s">
        <v>140</v>
      </c>
      <c r="CM269" s="27" t="s">
        <v>137</v>
      </c>
      <c r="CN269" s="14"/>
      <c r="CO269" s="14"/>
      <c r="CP269" s="261"/>
      <c r="CQ269" s="261"/>
      <c r="CR269" s="261"/>
      <c r="CS269" s="261"/>
      <c r="CT269" s="261"/>
      <c r="CU269" s="261"/>
    </row>
    <row r="270" spans="1:99" s="262" customFormat="1" ht="30" x14ac:dyDescent="0.25">
      <c r="A270" s="240">
        <v>41699</v>
      </c>
      <c r="B270" s="240"/>
      <c r="C270" s="213" t="s">
        <v>1453</v>
      </c>
      <c r="D270" s="213" t="s">
        <v>106</v>
      </c>
      <c r="E270" s="258" t="s">
        <v>1232</v>
      </c>
      <c r="F270" s="232" t="s">
        <v>1454</v>
      </c>
      <c r="G270" s="232"/>
      <c r="H270" s="232"/>
      <c r="I270" s="232"/>
      <c r="J270" s="223" t="s">
        <v>130</v>
      </c>
      <c r="K270" s="236" t="s">
        <v>1455</v>
      </c>
      <c r="L270" s="163"/>
      <c r="M270" s="25"/>
      <c r="N270" s="25"/>
      <c r="O270" s="26"/>
      <c r="P270" s="223"/>
      <c r="Q270" s="223"/>
      <c r="R270" s="223"/>
      <c r="S270" s="223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3"/>
      <c r="AE270" s="223"/>
      <c r="AF270" s="223"/>
      <c r="AG270" s="223"/>
      <c r="AH270" s="223"/>
      <c r="AI270" s="223"/>
      <c r="AJ270" s="223"/>
      <c r="AK270" s="223"/>
      <c r="AL270" s="223"/>
      <c r="AM270" s="223"/>
      <c r="AN270" s="256"/>
      <c r="AO270" s="256"/>
      <c r="AP270" s="25"/>
      <c r="AQ270" s="256"/>
      <c r="AR270" s="257"/>
      <c r="AS270" s="256"/>
      <c r="AT270" s="257"/>
      <c r="AU270" s="232" t="s">
        <v>1456</v>
      </c>
      <c r="AV270" s="212"/>
      <c r="AW270" s="212" t="s">
        <v>1457</v>
      </c>
      <c r="AX270" s="212"/>
      <c r="AY270" s="212"/>
      <c r="AZ270" s="212"/>
      <c r="BA270" s="212" t="s">
        <v>1458</v>
      </c>
      <c r="BB270" s="212"/>
      <c r="BC270" s="212"/>
      <c r="BD270" s="223"/>
      <c r="BE270" s="212" t="s">
        <v>1459</v>
      </c>
      <c r="BF270" s="212"/>
      <c r="BG270" s="212" t="s">
        <v>1460</v>
      </c>
      <c r="BH270" s="212"/>
      <c r="BI270" s="212" t="s">
        <v>1461</v>
      </c>
      <c r="BJ270" s="212"/>
      <c r="BK270" s="119">
        <v>34.69</v>
      </c>
      <c r="BL270" s="244" t="s">
        <v>1462</v>
      </c>
      <c r="BM270" s="244" t="s">
        <v>1463</v>
      </c>
      <c r="BN270" s="244"/>
      <c r="BO270" s="244"/>
      <c r="BP270" s="244"/>
      <c r="BQ270" s="244"/>
      <c r="BR270" s="244"/>
      <c r="BS270" s="244"/>
      <c r="BT270" s="221">
        <v>2.9060000000000001</v>
      </c>
      <c r="BU270" s="221">
        <v>2.9060000000000001</v>
      </c>
      <c r="BV270" s="221">
        <v>6.6920000000000002</v>
      </c>
      <c r="BW270" s="92">
        <f>(BV270*BU270*BT270)/1728</f>
        <v>3.2704191268518527E-2</v>
      </c>
      <c r="BX270" s="221">
        <v>0.6</v>
      </c>
      <c r="BY270" s="221">
        <v>9.3800000000000008</v>
      </c>
      <c r="BZ270" s="221">
        <v>6.5</v>
      </c>
      <c r="CA270" s="221">
        <v>7.38</v>
      </c>
      <c r="CB270" s="92">
        <f t="shared" si="70"/>
        <v>0.26039270833333333</v>
      </c>
      <c r="CC270" s="221">
        <f>BX270*CG270+0.25</f>
        <v>3.8499999999999996</v>
      </c>
      <c r="CD270" s="303"/>
      <c r="CE270" s="303"/>
      <c r="CF270" s="212" t="s">
        <v>135</v>
      </c>
      <c r="CG270" s="213">
        <v>6</v>
      </c>
      <c r="CH270" s="213">
        <v>30</v>
      </c>
      <c r="CI270" s="213">
        <v>6</v>
      </c>
      <c r="CJ270" s="27">
        <f t="shared" si="71"/>
        <v>1080</v>
      </c>
      <c r="CK270" s="27">
        <f t="shared" si="72"/>
        <v>742.99999999999989</v>
      </c>
      <c r="CL270" s="27" t="s">
        <v>322</v>
      </c>
      <c r="CM270" s="27" t="s">
        <v>137</v>
      </c>
      <c r="CN270" s="14"/>
      <c r="CO270" s="14"/>
      <c r="CP270" s="261"/>
      <c r="CQ270" s="261"/>
      <c r="CR270" s="261"/>
      <c r="CS270" s="261"/>
      <c r="CT270" s="261"/>
      <c r="CU270" s="261"/>
    </row>
    <row r="271" spans="1:99" s="262" customFormat="1" x14ac:dyDescent="0.25">
      <c r="A271" s="240">
        <v>41699</v>
      </c>
      <c r="B271" s="240"/>
      <c r="C271" s="212" t="s">
        <v>1464</v>
      </c>
      <c r="D271" s="213" t="s">
        <v>106</v>
      </c>
      <c r="E271" s="258" t="s">
        <v>1258</v>
      </c>
      <c r="F271" s="236" t="s">
        <v>1465</v>
      </c>
      <c r="G271" s="236"/>
      <c r="H271" s="236"/>
      <c r="I271" s="236"/>
      <c r="J271" s="223" t="s">
        <v>236</v>
      </c>
      <c r="K271" s="212" t="s">
        <v>1466</v>
      </c>
      <c r="L271" s="163"/>
      <c r="M271" s="25"/>
      <c r="N271" s="25"/>
      <c r="O271" s="26"/>
      <c r="P271" s="223"/>
      <c r="Q271" s="223"/>
      <c r="R271" s="223"/>
      <c r="S271" s="223"/>
      <c r="T271" s="223"/>
      <c r="U271" s="223"/>
      <c r="V271" s="223"/>
      <c r="W271" s="223"/>
      <c r="X271" s="223"/>
      <c r="Y271" s="223"/>
      <c r="Z271" s="223"/>
      <c r="AA271" s="223"/>
      <c r="AB271" s="223"/>
      <c r="AC271" s="223"/>
      <c r="AD271" s="223"/>
      <c r="AE271" s="223"/>
      <c r="AF271" s="223"/>
      <c r="AG271" s="223"/>
      <c r="AH271" s="223"/>
      <c r="AI271" s="223"/>
      <c r="AJ271" s="223"/>
      <c r="AK271" s="223"/>
      <c r="AL271" s="223"/>
      <c r="AM271" s="223"/>
      <c r="AN271" s="256"/>
      <c r="AO271" s="256"/>
      <c r="AP271" s="25">
        <v>83390</v>
      </c>
      <c r="AQ271" s="256"/>
      <c r="AR271" s="257"/>
      <c r="AS271" s="256"/>
      <c r="AT271" s="257"/>
      <c r="AU271" s="212" t="s">
        <v>1467</v>
      </c>
      <c r="AV271" s="120" t="s">
        <v>1468</v>
      </c>
      <c r="AW271" s="212"/>
      <c r="AX271" s="212" t="s">
        <v>1469</v>
      </c>
      <c r="AY271" s="212"/>
      <c r="AZ271" s="212"/>
      <c r="BA271" s="212"/>
      <c r="BB271" s="212"/>
      <c r="BC271" s="212"/>
      <c r="BD271" s="223">
        <v>9390</v>
      </c>
      <c r="BE271" s="212" t="s">
        <v>1470</v>
      </c>
      <c r="BF271" s="212"/>
      <c r="BG271" s="212" t="s">
        <v>1471</v>
      </c>
      <c r="BH271" s="212"/>
      <c r="BI271" s="212" t="s">
        <v>1472</v>
      </c>
      <c r="BJ271" s="120" t="s">
        <v>1473</v>
      </c>
      <c r="BK271" s="119">
        <v>33.74</v>
      </c>
      <c r="BL271" s="244" t="s">
        <v>1474</v>
      </c>
      <c r="BM271" s="244" t="s">
        <v>1475</v>
      </c>
      <c r="BN271" s="244"/>
      <c r="BO271" s="244"/>
      <c r="BP271" s="244"/>
      <c r="BQ271" s="244"/>
      <c r="BR271" s="244"/>
      <c r="BS271" s="244"/>
      <c r="BT271" s="221">
        <v>7.7859999999999996</v>
      </c>
      <c r="BU271" s="221">
        <v>2.536</v>
      </c>
      <c r="BV271" s="221">
        <v>9.0719999999999992</v>
      </c>
      <c r="BW271" s="92">
        <f>(BV271*BU271*BT271)/1728</f>
        <v>0.10366280399999998</v>
      </c>
      <c r="BX271" s="94">
        <v>0.46400000000000002</v>
      </c>
      <c r="BY271" s="94">
        <v>9.75</v>
      </c>
      <c r="BZ271" s="94">
        <v>8.18</v>
      </c>
      <c r="CA271" s="94">
        <v>8.5</v>
      </c>
      <c r="CB271" s="92">
        <f t="shared" si="70"/>
        <v>0.39231336805555556</v>
      </c>
      <c r="CC271" s="221">
        <f>BX271*CG271+0.25</f>
        <v>1.6420000000000001</v>
      </c>
      <c r="CD271" s="303"/>
      <c r="CE271" s="303"/>
      <c r="CF271" s="212" t="s">
        <v>135</v>
      </c>
      <c r="CG271" s="213">
        <v>3</v>
      </c>
      <c r="CH271" s="213">
        <v>20</v>
      </c>
      <c r="CI271" s="213">
        <v>5</v>
      </c>
      <c r="CJ271" s="27">
        <f t="shared" si="71"/>
        <v>300</v>
      </c>
      <c r="CK271" s="27">
        <f t="shared" si="72"/>
        <v>214.20000000000002</v>
      </c>
      <c r="CL271" s="27" t="s">
        <v>140</v>
      </c>
      <c r="CM271" s="27" t="s">
        <v>137</v>
      </c>
      <c r="CN271" s="14"/>
      <c r="CO271" s="14"/>
      <c r="CP271" s="261"/>
      <c r="CQ271" s="261"/>
      <c r="CR271" s="261"/>
      <c r="CS271" s="261"/>
      <c r="CT271" s="261"/>
      <c r="CU271" s="261"/>
    </row>
    <row r="272" spans="1:99" s="262" customFormat="1" x14ac:dyDescent="0.25">
      <c r="A272" s="240">
        <v>41699</v>
      </c>
      <c r="B272" s="240"/>
      <c r="C272" s="212" t="s">
        <v>1476</v>
      </c>
      <c r="D272" s="213" t="s">
        <v>106</v>
      </c>
      <c r="E272" s="258" t="s">
        <v>1258</v>
      </c>
      <c r="F272" s="232" t="s">
        <v>1477</v>
      </c>
      <c r="G272" s="232"/>
      <c r="H272" s="232"/>
      <c r="I272" s="232"/>
      <c r="J272" s="223" t="s">
        <v>108</v>
      </c>
      <c r="K272" s="213">
        <v>15909459</v>
      </c>
      <c r="L272" s="223" t="s">
        <v>108</v>
      </c>
      <c r="M272" s="213">
        <v>20774655</v>
      </c>
      <c r="N272" s="163" t="s">
        <v>109</v>
      </c>
      <c r="O272" s="25" t="s">
        <v>1478</v>
      </c>
      <c r="P272" s="223"/>
      <c r="Q272" s="223"/>
      <c r="R272" s="223"/>
      <c r="S272" s="223"/>
      <c r="T272" s="223"/>
      <c r="U272" s="223"/>
      <c r="V272" s="223"/>
      <c r="W272" s="223"/>
      <c r="X272" s="223"/>
      <c r="Y272" s="223"/>
      <c r="Z272" s="223"/>
      <c r="AA272" s="223"/>
      <c r="AB272" s="223"/>
      <c r="AC272" s="223"/>
      <c r="AD272" s="223"/>
      <c r="AE272" s="223"/>
      <c r="AF272" s="223"/>
      <c r="AG272" s="223"/>
      <c r="AH272" s="223"/>
      <c r="AI272" s="223"/>
      <c r="AJ272" s="223"/>
      <c r="AK272" s="223"/>
      <c r="AL272" s="223"/>
      <c r="AM272" s="223"/>
      <c r="AN272" s="256"/>
      <c r="AO272" s="256"/>
      <c r="AP272" s="25">
        <v>83459</v>
      </c>
      <c r="AQ272" s="256"/>
      <c r="AR272" s="257"/>
      <c r="AS272" s="256"/>
      <c r="AT272" s="257"/>
      <c r="AU272" s="213" t="s">
        <v>1479</v>
      </c>
      <c r="AV272" s="213" t="s">
        <v>1480</v>
      </c>
      <c r="AW272" s="213"/>
      <c r="AX272" s="213"/>
      <c r="AY272" s="213"/>
      <c r="AZ272" s="213"/>
      <c r="BA272" s="213"/>
      <c r="BB272" s="213"/>
      <c r="BC272" s="213"/>
      <c r="BD272" s="223">
        <v>9459</v>
      </c>
      <c r="BE272" s="213" t="s">
        <v>1481</v>
      </c>
      <c r="BF272" s="213" t="s">
        <v>1482</v>
      </c>
      <c r="BG272" s="213" t="s">
        <v>1483</v>
      </c>
      <c r="BH272" s="213"/>
      <c r="BI272" s="213" t="s">
        <v>1484</v>
      </c>
      <c r="BJ272" s="213">
        <v>49459</v>
      </c>
      <c r="BK272" s="119">
        <v>54.95</v>
      </c>
      <c r="BL272" s="244" t="s">
        <v>1485</v>
      </c>
      <c r="BM272" s="244" t="s">
        <v>1486</v>
      </c>
      <c r="BN272" s="244"/>
      <c r="BO272" s="244"/>
      <c r="BP272" s="244"/>
      <c r="BQ272" s="244"/>
      <c r="BR272" s="244"/>
      <c r="BS272" s="244"/>
      <c r="BT272" s="221">
        <v>4.6559999999999997</v>
      </c>
      <c r="BU272" s="221">
        <v>4.6559999999999997</v>
      </c>
      <c r="BV272" s="221">
        <v>8.8219999999999992</v>
      </c>
      <c r="BW272" s="92">
        <f>(BV272*BU272*BT272)/1728</f>
        <v>0.11067493066666663</v>
      </c>
      <c r="BX272" s="94">
        <v>1.6</v>
      </c>
      <c r="BY272" s="94">
        <v>15.305999999999999</v>
      </c>
      <c r="BZ272" s="94">
        <v>9.3059999999999992</v>
      </c>
      <c r="CA272" s="94">
        <v>5.7320000000000002</v>
      </c>
      <c r="CB272" s="92">
        <f t="shared" si="70"/>
        <v>0.47248410274999991</v>
      </c>
      <c r="CC272" s="94">
        <f>BX272*CG272+0.25</f>
        <v>5.0500000000000007</v>
      </c>
      <c r="CD272" s="302"/>
      <c r="CE272" s="302"/>
      <c r="CF272" s="212" t="s">
        <v>135</v>
      </c>
      <c r="CG272" s="213">
        <v>3</v>
      </c>
      <c r="CH272" s="213">
        <v>13</v>
      </c>
      <c r="CI272" s="213">
        <v>8</v>
      </c>
      <c r="CJ272" s="27">
        <f t="shared" si="71"/>
        <v>312</v>
      </c>
      <c r="CK272" s="27">
        <f t="shared" si="72"/>
        <v>575.20000000000005</v>
      </c>
      <c r="CL272" s="27" t="s">
        <v>257</v>
      </c>
      <c r="CM272" s="27" t="s">
        <v>137</v>
      </c>
      <c r="CN272" s="14"/>
      <c r="CO272" s="14"/>
      <c r="CP272" s="261"/>
      <c r="CQ272" s="261"/>
      <c r="CR272" s="261"/>
      <c r="CS272" s="261"/>
      <c r="CT272" s="261"/>
      <c r="CU272" s="261"/>
    </row>
    <row r="273" spans="1:99" s="262" customFormat="1" ht="30" x14ac:dyDescent="0.25">
      <c r="A273" s="240">
        <v>41699</v>
      </c>
      <c r="B273" s="240"/>
      <c r="C273" s="212" t="s">
        <v>1487</v>
      </c>
      <c r="D273" s="213" t="s">
        <v>54</v>
      </c>
      <c r="E273" s="258" t="s">
        <v>1258</v>
      </c>
      <c r="F273" s="236" t="s">
        <v>1488</v>
      </c>
      <c r="G273" s="236"/>
      <c r="H273" s="236"/>
      <c r="I273" s="236"/>
      <c r="J273" s="213" t="s">
        <v>91</v>
      </c>
      <c r="K273" s="213" t="s">
        <v>1489</v>
      </c>
      <c r="L273" s="163" t="s">
        <v>1490</v>
      </c>
      <c r="M273" s="25" t="s">
        <v>1491</v>
      </c>
      <c r="N273" s="25" t="s">
        <v>47</v>
      </c>
      <c r="O273" s="26" t="s">
        <v>1492</v>
      </c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3"/>
      <c r="AD273" s="223"/>
      <c r="AE273" s="223"/>
      <c r="AF273" s="223"/>
      <c r="AG273" s="223"/>
      <c r="AH273" s="223"/>
      <c r="AI273" s="223"/>
      <c r="AJ273" s="223"/>
      <c r="AK273" s="223"/>
      <c r="AL273" s="223"/>
      <c r="AM273" s="223"/>
      <c r="AN273" s="256"/>
      <c r="AO273" s="256"/>
      <c r="AP273" s="25"/>
      <c r="AQ273" s="256"/>
      <c r="AR273" s="257"/>
      <c r="AS273" s="256"/>
      <c r="AT273" s="257"/>
      <c r="AU273" s="213"/>
      <c r="AV273" s="213"/>
      <c r="AW273" s="213"/>
      <c r="AX273" s="213"/>
      <c r="AY273" s="213"/>
      <c r="AZ273" s="213"/>
      <c r="BA273" s="213"/>
      <c r="BB273" s="213"/>
      <c r="BC273" s="213"/>
      <c r="BD273" s="223"/>
      <c r="BE273" s="213"/>
      <c r="BF273" s="213"/>
      <c r="BG273" s="213" t="s">
        <v>1493</v>
      </c>
      <c r="BH273" s="213"/>
      <c r="BI273" s="213" t="s">
        <v>1493</v>
      </c>
      <c r="BJ273" s="213"/>
      <c r="BK273" s="119">
        <v>26.63</v>
      </c>
      <c r="BL273" s="244" t="s">
        <v>1494</v>
      </c>
      <c r="BM273" s="244" t="s">
        <v>1495</v>
      </c>
      <c r="BN273" s="244"/>
      <c r="BO273" s="244"/>
      <c r="BP273" s="244"/>
      <c r="BQ273" s="244"/>
      <c r="BR273" s="244"/>
      <c r="BS273" s="244"/>
      <c r="BT273" s="221">
        <v>6.7859999999999996</v>
      </c>
      <c r="BU273" s="221">
        <v>4.9059999999999997</v>
      </c>
      <c r="BV273" s="221">
        <v>8.5719999999999992</v>
      </c>
      <c r="BW273" s="92">
        <f>(BV273*BU273*BT273)/1728</f>
        <v>0.16515047358333329</v>
      </c>
      <c r="BX273" s="94">
        <v>0.2</v>
      </c>
      <c r="BY273" s="94">
        <v>15.38</v>
      </c>
      <c r="BZ273" s="94">
        <v>7.25</v>
      </c>
      <c r="CA273" s="94">
        <v>9.1199999999999992</v>
      </c>
      <c r="CB273" s="92">
        <f t="shared" si="70"/>
        <v>0.58849861111111101</v>
      </c>
      <c r="CC273" s="94">
        <f>BX273*CG273+0.25</f>
        <v>0.85000000000000009</v>
      </c>
      <c r="CD273" s="302"/>
      <c r="CE273" s="302"/>
      <c r="CF273" s="212" t="s">
        <v>135</v>
      </c>
      <c r="CG273" s="213">
        <v>3</v>
      </c>
      <c r="CH273" s="213">
        <v>15</v>
      </c>
      <c r="CI273" s="213">
        <v>4</v>
      </c>
      <c r="CJ273" s="27">
        <f t="shared" si="71"/>
        <v>180</v>
      </c>
      <c r="CK273" s="27">
        <f t="shared" si="72"/>
        <v>101</v>
      </c>
      <c r="CL273" s="27" t="s">
        <v>257</v>
      </c>
      <c r="CM273" s="27" t="s">
        <v>137</v>
      </c>
      <c r="CN273" s="14"/>
      <c r="CO273" s="14"/>
      <c r="CP273" s="261"/>
      <c r="CQ273" s="261"/>
      <c r="CR273" s="261"/>
      <c r="CS273" s="261"/>
      <c r="CT273" s="261"/>
      <c r="CU273" s="261"/>
    </row>
    <row r="274" spans="1:99" s="262" customFormat="1" ht="30" x14ac:dyDescent="0.25">
      <c r="A274" s="240">
        <v>41699</v>
      </c>
      <c r="B274" s="240"/>
      <c r="C274" s="212" t="s">
        <v>1496</v>
      </c>
      <c r="D274" s="213" t="s">
        <v>106</v>
      </c>
      <c r="E274" s="258" t="s">
        <v>1355</v>
      </c>
      <c r="F274" s="252" t="s">
        <v>1497</v>
      </c>
      <c r="G274" s="252"/>
      <c r="H274" s="252"/>
      <c r="I274" s="252"/>
      <c r="J274" s="224" t="s">
        <v>334</v>
      </c>
      <c r="K274" s="31" t="s">
        <v>1498</v>
      </c>
      <c r="L274" s="224" t="s">
        <v>334</v>
      </c>
      <c r="M274" s="25" t="s">
        <v>1499</v>
      </c>
      <c r="N274" s="25"/>
      <c r="O274" s="26"/>
      <c r="P274" s="223"/>
      <c r="Q274" s="223"/>
      <c r="R274" s="223"/>
      <c r="S274" s="223"/>
      <c r="T274" s="223"/>
      <c r="U274" s="223"/>
      <c r="V274" s="223"/>
      <c r="W274" s="223"/>
      <c r="X274" s="223"/>
      <c r="Y274" s="223"/>
      <c r="Z274" s="223"/>
      <c r="AA274" s="223"/>
      <c r="AB274" s="223"/>
      <c r="AC274" s="223"/>
      <c r="AD274" s="223"/>
      <c r="AE274" s="223"/>
      <c r="AF274" s="223"/>
      <c r="AG274" s="223"/>
      <c r="AH274" s="223"/>
      <c r="AI274" s="223"/>
      <c r="AJ274" s="223"/>
      <c r="AK274" s="223"/>
      <c r="AL274" s="223"/>
      <c r="AM274" s="223"/>
      <c r="AN274" s="256"/>
      <c r="AO274" s="256"/>
      <c r="AP274" s="25">
        <v>83093</v>
      </c>
      <c r="AQ274" s="256"/>
      <c r="AR274" s="257"/>
      <c r="AS274" s="256"/>
      <c r="AT274" s="257"/>
      <c r="AU274" s="212" t="s">
        <v>1500</v>
      </c>
      <c r="AV274" s="120" t="s">
        <v>1501</v>
      </c>
      <c r="AW274" s="212"/>
      <c r="AX274" s="212"/>
      <c r="AY274" s="212"/>
      <c r="AZ274" s="212"/>
      <c r="BA274" s="212" t="s">
        <v>1502</v>
      </c>
      <c r="BB274" s="212"/>
      <c r="BC274" s="212"/>
      <c r="BD274" s="223">
        <v>9093</v>
      </c>
      <c r="BE274" s="212" t="s">
        <v>1503</v>
      </c>
      <c r="BF274" s="212" t="s">
        <v>1496</v>
      </c>
      <c r="BG274" s="212" t="s">
        <v>1503</v>
      </c>
      <c r="BH274" s="212"/>
      <c r="BI274" s="212" t="s">
        <v>1504</v>
      </c>
      <c r="BJ274" s="212" t="s">
        <v>1505</v>
      </c>
      <c r="BK274" s="119">
        <v>27.57</v>
      </c>
      <c r="BL274" s="244" t="s">
        <v>1506</v>
      </c>
      <c r="BM274" s="244" t="s">
        <v>1507</v>
      </c>
      <c r="BN274" s="244"/>
      <c r="BO274" s="244"/>
      <c r="BP274" s="244"/>
      <c r="BQ274" s="244"/>
      <c r="BR274" s="244"/>
      <c r="BS274" s="244"/>
      <c r="BT274" s="521" t="s">
        <v>876</v>
      </c>
      <c r="BU274" s="525"/>
      <c r="BV274" s="525"/>
      <c r="BW274" s="525"/>
      <c r="BX274" s="525"/>
      <c r="BY274" s="94">
        <v>4.12</v>
      </c>
      <c r="BZ274" s="94">
        <v>6.25</v>
      </c>
      <c r="CA274" s="94">
        <v>9.25</v>
      </c>
      <c r="CB274" s="92">
        <f t="shared" si="70"/>
        <v>0.13783998842592593</v>
      </c>
      <c r="CC274" s="94">
        <v>1.6300000000000001</v>
      </c>
      <c r="CD274" s="302"/>
      <c r="CE274" s="302"/>
      <c r="CF274" s="212" t="s">
        <v>135</v>
      </c>
      <c r="CG274" s="213">
        <v>6</v>
      </c>
      <c r="CH274" s="213">
        <v>30</v>
      </c>
      <c r="CI274" s="213">
        <v>10</v>
      </c>
      <c r="CJ274" s="27">
        <f t="shared" si="71"/>
        <v>1800</v>
      </c>
      <c r="CK274" s="27">
        <f t="shared" si="72"/>
        <v>539</v>
      </c>
      <c r="CL274" s="27" t="s">
        <v>140</v>
      </c>
      <c r="CM274" s="27" t="s">
        <v>137</v>
      </c>
      <c r="CN274" s="14"/>
      <c r="CO274" s="14"/>
      <c r="CP274" s="261"/>
      <c r="CQ274" s="261"/>
      <c r="CR274" s="261"/>
      <c r="CS274" s="261"/>
      <c r="CT274" s="261"/>
      <c r="CU274" s="261"/>
    </row>
    <row r="275" spans="1:99" s="262" customFormat="1" ht="30" customHeight="1" x14ac:dyDescent="0.25">
      <c r="A275" s="240">
        <v>41685</v>
      </c>
      <c r="B275" s="240"/>
      <c r="C275" s="212" t="s">
        <v>1508</v>
      </c>
      <c r="D275" s="212" t="s">
        <v>54</v>
      </c>
      <c r="E275" s="212" t="s">
        <v>1509</v>
      </c>
      <c r="F275" s="263" t="s">
        <v>1510</v>
      </c>
      <c r="G275" s="406"/>
      <c r="H275" s="406"/>
      <c r="I275" s="406"/>
      <c r="J275" s="180" t="s">
        <v>351</v>
      </c>
      <c r="K275" s="180" t="s">
        <v>1511</v>
      </c>
      <c r="L275" s="25" t="s">
        <v>1512</v>
      </c>
      <c r="M275" s="25" t="s">
        <v>1513</v>
      </c>
      <c r="N275" s="25"/>
      <c r="O275" s="26"/>
      <c r="P275" s="237"/>
      <c r="Q275" s="237"/>
      <c r="R275" s="223"/>
      <c r="S275" s="223"/>
      <c r="T275" s="223"/>
      <c r="U275" s="223"/>
      <c r="V275" s="223"/>
      <c r="W275" s="223"/>
      <c r="X275" s="223"/>
      <c r="Y275" s="223"/>
      <c r="Z275" s="223"/>
      <c r="AA275" s="223"/>
      <c r="AB275" s="223"/>
      <c r="AC275" s="223"/>
      <c r="AD275" s="223"/>
      <c r="AE275" s="223"/>
      <c r="AF275" s="223"/>
      <c r="AG275" s="223"/>
      <c r="AH275" s="223"/>
      <c r="AI275" s="223"/>
      <c r="AJ275" s="223"/>
      <c r="AK275" s="223"/>
      <c r="AL275" s="223"/>
      <c r="AM275" s="223"/>
      <c r="AN275" s="256" t="s">
        <v>1514</v>
      </c>
      <c r="AO275" s="256"/>
      <c r="AP275" s="25">
        <v>83203</v>
      </c>
      <c r="AQ275" s="256"/>
      <c r="AR275" s="257" t="s">
        <v>1515</v>
      </c>
      <c r="AS275" s="256"/>
      <c r="AT275" s="257" t="s">
        <v>1516</v>
      </c>
      <c r="AU275" s="257"/>
      <c r="AV275" s="256"/>
      <c r="AW275" s="256"/>
      <c r="AX275" s="256"/>
      <c r="AY275" s="256"/>
      <c r="AZ275" s="256"/>
      <c r="BA275" s="223"/>
      <c r="BB275" s="256"/>
      <c r="BC275" s="256"/>
      <c r="BD275" s="256">
        <v>9203</v>
      </c>
      <c r="BE275" s="256"/>
      <c r="BF275" s="256"/>
      <c r="BG275" s="256"/>
      <c r="BH275" s="256"/>
      <c r="BI275" s="256"/>
      <c r="BJ275" s="256" t="s">
        <v>1517</v>
      </c>
      <c r="BK275" s="119">
        <v>84.86</v>
      </c>
      <c r="BL275" s="244" t="s">
        <v>1518</v>
      </c>
      <c r="BM275" s="244" t="s">
        <v>1519</v>
      </c>
      <c r="BN275" s="244"/>
      <c r="BO275" s="244"/>
      <c r="BP275" s="244"/>
      <c r="BQ275" s="244"/>
      <c r="BR275" s="244"/>
      <c r="BS275" s="244"/>
      <c r="BT275" s="520" t="s">
        <v>356</v>
      </c>
      <c r="BU275" s="520"/>
      <c r="BV275" s="520"/>
      <c r="BW275" s="520"/>
      <c r="BX275" s="520"/>
      <c r="BY275" s="94">
        <v>12.680999999999999</v>
      </c>
      <c r="BZ275" s="94">
        <v>12.680999999999999</v>
      </c>
      <c r="CA275" s="94">
        <v>14.362</v>
      </c>
      <c r="CB275" s="92">
        <f t="shared" si="70"/>
        <v>1.3365283932187497</v>
      </c>
      <c r="CC275" s="94">
        <f>0.75+0.4</f>
        <v>1.1499999999999999</v>
      </c>
      <c r="CD275" s="302"/>
      <c r="CE275" s="302"/>
      <c r="CF275" s="212" t="s">
        <v>135</v>
      </c>
      <c r="CG275" s="212">
        <v>1</v>
      </c>
      <c r="CH275" s="212">
        <v>9</v>
      </c>
      <c r="CI275" s="212">
        <v>3</v>
      </c>
      <c r="CJ275" s="27">
        <f t="shared" si="71"/>
        <v>27</v>
      </c>
      <c r="CK275" s="27">
        <f t="shared" si="72"/>
        <v>81.05</v>
      </c>
      <c r="CL275" s="27" t="s">
        <v>257</v>
      </c>
      <c r="CM275" s="27" t="s">
        <v>137</v>
      </c>
      <c r="CN275" s="14"/>
      <c r="CO275" s="14"/>
      <c r="CP275" s="261"/>
      <c r="CQ275" s="261"/>
      <c r="CR275" s="261"/>
      <c r="CS275" s="261"/>
      <c r="CT275" s="261"/>
      <c r="CU275" s="261"/>
    </row>
    <row r="276" spans="1:99" s="262" customFormat="1" x14ac:dyDescent="0.25">
      <c r="A276" s="240">
        <v>41685</v>
      </c>
      <c r="B276" s="240"/>
      <c r="C276" s="212" t="s">
        <v>1520</v>
      </c>
      <c r="D276" s="212" t="s">
        <v>54</v>
      </c>
      <c r="E276" s="212" t="s">
        <v>1521</v>
      </c>
      <c r="F276" s="263" t="s">
        <v>1522</v>
      </c>
      <c r="G276" s="406"/>
      <c r="H276" s="406"/>
      <c r="I276" s="406"/>
      <c r="J276" s="223" t="s">
        <v>48</v>
      </c>
      <c r="K276" s="215" t="s">
        <v>1523</v>
      </c>
      <c r="L276" s="25" t="s">
        <v>1524</v>
      </c>
      <c r="M276" s="25" t="s">
        <v>1525</v>
      </c>
      <c r="N276" s="25" t="s">
        <v>722</v>
      </c>
      <c r="O276" s="26">
        <v>11988962</v>
      </c>
      <c r="P276" s="25" t="s">
        <v>722</v>
      </c>
      <c r="Q276" s="26">
        <v>11708554</v>
      </c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3"/>
      <c r="AC276" s="223"/>
      <c r="AD276" s="223"/>
      <c r="AE276" s="223"/>
      <c r="AF276" s="223"/>
      <c r="AG276" s="223"/>
      <c r="AH276" s="223"/>
      <c r="AI276" s="223"/>
      <c r="AJ276" s="223"/>
      <c r="AK276" s="223"/>
      <c r="AL276" s="223"/>
      <c r="AM276" s="223"/>
      <c r="AN276" s="256" t="s">
        <v>1526</v>
      </c>
      <c r="AO276" s="256"/>
      <c r="AP276" s="25">
        <v>86716</v>
      </c>
      <c r="AQ276" s="256"/>
      <c r="AR276" s="257" t="s">
        <v>1527</v>
      </c>
      <c r="AS276" s="256"/>
      <c r="AT276" s="257" t="s">
        <v>1528</v>
      </c>
      <c r="AU276" s="257"/>
      <c r="AV276" s="256"/>
      <c r="AW276" s="256" t="s">
        <v>1523</v>
      </c>
      <c r="AX276" s="256"/>
      <c r="AY276" s="256"/>
      <c r="AZ276" s="256"/>
      <c r="BA276" s="256" t="s">
        <v>1525</v>
      </c>
      <c r="BB276" s="256"/>
      <c r="BC276" s="256"/>
      <c r="BD276" s="256">
        <v>3716</v>
      </c>
      <c r="BE276" s="256"/>
      <c r="BF276" s="256"/>
      <c r="BG276" s="256"/>
      <c r="BH276" s="256"/>
      <c r="BI276" s="256"/>
      <c r="BJ276" s="256" t="s">
        <v>1529</v>
      </c>
      <c r="BK276" s="119">
        <v>29.34</v>
      </c>
      <c r="BL276" s="244" t="s">
        <v>1530</v>
      </c>
      <c r="BM276" s="244" t="s">
        <v>1531</v>
      </c>
      <c r="BN276" s="244"/>
      <c r="BO276" s="244"/>
      <c r="BP276" s="244"/>
      <c r="BQ276" s="244"/>
      <c r="BR276" s="244"/>
      <c r="BS276" s="244"/>
      <c r="BT276" s="94">
        <v>3.1859999999999999</v>
      </c>
      <c r="BU276" s="94">
        <v>3.1859999999999999</v>
      </c>
      <c r="BV276" s="94">
        <v>3.6920000000000002</v>
      </c>
      <c r="BW276" s="92">
        <f>(BV276*BU276*BT276)/1728</f>
        <v>2.1687500249999998E-2</v>
      </c>
      <c r="BX276" s="94">
        <v>0.375</v>
      </c>
      <c r="BY276" s="94">
        <v>10</v>
      </c>
      <c r="BZ276" s="94">
        <v>6.75</v>
      </c>
      <c r="CA276" s="94">
        <v>4.37</v>
      </c>
      <c r="CB276" s="92">
        <f t="shared" si="70"/>
        <v>0.17070312500000001</v>
      </c>
      <c r="CC276" s="94">
        <v>2.6669999999999998</v>
      </c>
      <c r="CD276" s="302"/>
      <c r="CE276" s="302"/>
      <c r="CF276" s="212" t="s">
        <v>135</v>
      </c>
      <c r="CG276" s="212">
        <v>6</v>
      </c>
      <c r="CH276" s="212">
        <v>26</v>
      </c>
      <c r="CI276" s="212">
        <v>9</v>
      </c>
      <c r="CJ276" s="27">
        <f t="shared" si="71"/>
        <v>1404</v>
      </c>
      <c r="CK276" s="27">
        <f t="shared" si="72"/>
        <v>674.07799999999997</v>
      </c>
      <c r="CL276" s="27" t="s">
        <v>531</v>
      </c>
      <c r="CM276" s="27" t="s">
        <v>137</v>
      </c>
      <c r="CN276" s="14"/>
      <c r="CO276" s="14"/>
      <c r="CP276" s="261"/>
      <c r="CQ276" s="261"/>
      <c r="CR276" s="261"/>
      <c r="CS276" s="261"/>
      <c r="CT276" s="261"/>
      <c r="CU276" s="261"/>
    </row>
    <row r="277" spans="1:99" s="262" customFormat="1" ht="30" x14ac:dyDescent="0.25">
      <c r="A277" s="240">
        <v>41685</v>
      </c>
      <c r="B277" s="240"/>
      <c r="C277" s="212" t="s">
        <v>1532</v>
      </c>
      <c r="D277" s="212" t="s">
        <v>54</v>
      </c>
      <c r="E277" s="212" t="s">
        <v>1533</v>
      </c>
      <c r="F277" s="263" t="s">
        <v>1534</v>
      </c>
      <c r="G277" s="406"/>
      <c r="H277" s="406"/>
      <c r="I277" s="406"/>
      <c r="J277" s="263" t="s">
        <v>520</v>
      </c>
      <c r="K277" s="25" t="s">
        <v>1535</v>
      </c>
      <c r="L277" s="163"/>
      <c r="M277" s="25"/>
      <c r="N277" s="25"/>
      <c r="O277" s="26"/>
      <c r="P277" s="237"/>
      <c r="Q277" s="237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3"/>
      <c r="AD277" s="223"/>
      <c r="AE277" s="223"/>
      <c r="AF277" s="223"/>
      <c r="AG277" s="223"/>
      <c r="AH277" s="223"/>
      <c r="AI277" s="223"/>
      <c r="AJ277" s="223"/>
      <c r="AK277" s="223"/>
      <c r="AL277" s="223"/>
      <c r="AM277" s="223"/>
      <c r="AN277" s="256" t="s">
        <v>1536</v>
      </c>
      <c r="AO277" s="256"/>
      <c r="AP277" s="25">
        <v>84467</v>
      </c>
      <c r="AQ277" s="256"/>
      <c r="AR277" s="257" t="s">
        <v>1537</v>
      </c>
      <c r="AS277" s="256"/>
      <c r="AT277" s="257" t="s">
        <v>1538</v>
      </c>
      <c r="AU277" s="257"/>
      <c r="AV277" s="256"/>
      <c r="AW277" s="256"/>
      <c r="AX277" s="256"/>
      <c r="AY277" s="256"/>
      <c r="AZ277" s="256"/>
      <c r="BA277" s="256"/>
      <c r="BB277" s="256"/>
      <c r="BC277" s="256"/>
      <c r="BD277" s="256">
        <v>7467</v>
      </c>
      <c r="BE277" s="256"/>
      <c r="BF277" s="256"/>
      <c r="BG277" s="256"/>
      <c r="BH277" s="256"/>
      <c r="BI277" s="256"/>
      <c r="BJ277" s="256" t="s">
        <v>1539</v>
      </c>
      <c r="BK277" s="119">
        <v>47.05</v>
      </c>
      <c r="BL277" s="244" t="s">
        <v>1540</v>
      </c>
      <c r="BM277" s="244" t="s">
        <v>1541</v>
      </c>
      <c r="BN277" s="244"/>
      <c r="BO277" s="244"/>
      <c r="BP277" s="244"/>
      <c r="BQ277" s="244"/>
      <c r="BR277" s="244"/>
      <c r="BS277" s="244"/>
      <c r="BT277" s="94">
        <v>4.9225000000000003</v>
      </c>
      <c r="BU277" s="94">
        <v>4.9225000000000003</v>
      </c>
      <c r="BV277" s="94">
        <v>6.6574999999999998</v>
      </c>
      <c r="BW277" s="92">
        <f>(BV277*BU277*BT277)/1728</f>
        <v>9.3355280155888315E-2</v>
      </c>
      <c r="BX277" s="94">
        <v>0.95</v>
      </c>
      <c r="BY277" s="94">
        <v>19.181000000000001</v>
      </c>
      <c r="BZ277" s="94">
        <v>14.430999999999999</v>
      </c>
      <c r="CA277" s="94">
        <v>6.6745000000000001</v>
      </c>
      <c r="CB277" s="92">
        <f t="shared" si="70"/>
        <v>1.0691599235645255</v>
      </c>
      <c r="CC277" s="94">
        <f>BX277*CG277+0.4</f>
        <v>11.799999999999999</v>
      </c>
      <c r="CD277" s="302"/>
      <c r="CE277" s="302"/>
      <c r="CF277" s="212" t="s">
        <v>135</v>
      </c>
      <c r="CG277" s="212">
        <v>12</v>
      </c>
      <c r="CH277" s="212">
        <v>6</v>
      </c>
      <c r="CI277" s="212">
        <v>6</v>
      </c>
      <c r="CJ277" s="27">
        <f t="shared" si="71"/>
        <v>432</v>
      </c>
      <c r="CK277" s="27">
        <f t="shared" si="72"/>
        <v>474.79999999999995</v>
      </c>
      <c r="CL277" s="27" t="s">
        <v>257</v>
      </c>
      <c r="CM277" s="27" t="s">
        <v>137</v>
      </c>
      <c r="CN277" s="14"/>
      <c r="CO277" s="14"/>
      <c r="CP277" s="261"/>
      <c r="CQ277" s="261"/>
      <c r="CR277" s="261"/>
      <c r="CS277" s="261"/>
      <c r="CT277" s="261"/>
      <c r="CU277" s="261"/>
    </row>
    <row r="278" spans="1:99" s="262" customFormat="1" ht="15" customHeight="1" x14ac:dyDescent="0.25">
      <c r="A278" s="240">
        <v>41685</v>
      </c>
      <c r="B278" s="240"/>
      <c r="C278" s="213" t="s">
        <v>1542</v>
      </c>
      <c r="D278" s="213" t="s">
        <v>54</v>
      </c>
      <c r="E278" s="212" t="s">
        <v>1509</v>
      </c>
      <c r="F278" s="263" t="s">
        <v>1543</v>
      </c>
      <c r="G278" s="406"/>
      <c r="H278" s="406"/>
      <c r="I278" s="406"/>
      <c r="J278" s="180" t="s">
        <v>169</v>
      </c>
      <c r="K278" s="25" t="s">
        <v>1544</v>
      </c>
      <c r="L278" s="163"/>
      <c r="M278" s="25"/>
      <c r="N278" s="25"/>
      <c r="O278" s="26"/>
      <c r="P278" s="237"/>
      <c r="Q278" s="237"/>
      <c r="R278" s="223"/>
      <c r="S278" s="223"/>
      <c r="T278" s="223"/>
      <c r="U278" s="223"/>
      <c r="V278" s="223"/>
      <c r="W278" s="223"/>
      <c r="X278" s="223"/>
      <c r="Y278" s="223"/>
      <c r="Z278" s="223"/>
      <c r="AA278" s="223"/>
      <c r="AB278" s="223"/>
      <c r="AC278" s="223"/>
      <c r="AD278" s="223"/>
      <c r="AE278" s="223"/>
      <c r="AF278" s="223"/>
      <c r="AG278" s="223"/>
      <c r="AH278" s="223"/>
      <c r="AI278" s="223"/>
      <c r="AJ278" s="223"/>
      <c r="AK278" s="223"/>
      <c r="AL278" s="223"/>
      <c r="AM278" s="223"/>
      <c r="AN278" s="256"/>
      <c r="AO278" s="256"/>
      <c r="AP278" s="25"/>
      <c r="AQ278" s="256"/>
      <c r="AR278" s="257" t="s">
        <v>1545</v>
      </c>
      <c r="AS278" s="256"/>
      <c r="AT278" s="257"/>
      <c r="AU278" s="257"/>
      <c r="AV278" s="256"/>
      <c r="AW278" s="256"/>
      <c r="AX278" s="256"/>
      <c r="AY278" s="256"/>
      <c r="AZ278" s="256"/>
      <c r="BA278" s="256"/>
      <c r="BB278" s="256"/>
      <c r="BC278" s="256"/>
      <c r="BD278" s="256"/>
      <c r="BE278" s="256"/>
      <c r="BF278" s="256"/>
      <c r="BG278" s="256"/>
      <c r="BH278" s="256"/>
      <c r="BI278" s="256"/>
      <c r="BJ278" s="256"/>
      <c r="BK278" s="119">
        <v>47.49</v>
      </c>
      <c r="BL278" s="244" t="s">
        <v>1546</v>
      </c>
      <c r="BM278" s="244" t="s">
        <v>1547</v>
      </c>
      <c r="BN278" s="244"/>
      <c r="BO278" s="244"/>
      <c r="BP278" s="244"/>
      <c r="BQ278" s="244"/>
      <c r="BR278" s="244"/>
      <c r="BS278" s="244"/>
      <c r="BT278" s="520" t="s">
        <v>356</v>
      </c>
      <c r="BU278" s="520"/>
      <c r="BV278" s="520"/>
      <c r="BW278" s="520"/>
      <c r="BX278" s="520"/>
      <c r="BY278" s="213">
        <v>13.185</v>
      </c>
      <c r="BZ278" s="213">
        <v>9.8049999999999997</v>
      </c>
      <c r="CA278" s="213">
        <v>10.18</v>
      </c>
      <c r="CB278" s="92">
        <f t="shared" si="70"/>
        <v>0.76160848177083329</v>
      </c>
      <c r="CC278" s="213">
        <f>2.89+0.4</f>
        <v>3.29</v>
      </c>
      <c r="CD278" s="304"/>
      <c r="CE278" s="304"/>
      <c r="CF278" s="212" t="s">
        <v>135</v>
      </c>
      <c r="CG278" s="213">
        <v>1</v>
      </c>
      <c r="CH278" s="213">
        <v>16</v>
      </c>
      <c r="CI278" s="213">
        <v>3</v>
      </c>
      <c r="CJ278" s="27">
        <f t="shared" si="71"/>
        <v>48</v>
      </c>
      <c r="CK278" s="27">
        <f t="shared" si="72"/>
        <v>207.92000000000002</v>
      </c>
      <c r="CL278" s="27" t="s">
        <v>257</v>
      </c>
      <c r="CM278" s="27" t="s">
        <v>137</v>
      </c>
      <c r="CN278" s="14"/>
      <c r="CO278" s="14"/>
      <c r="CP278" s="261"/>
      <c r="CQ278" s="261"/>
      <c r="CR278" s="261"/>
      <c r="CS278" s="261"/>
      <c r="CT278" s="261"/>
      <c r="CU278" s="261"/>
    </row>
    <row r="279" spans="1:99" s="262" customFormat="1" x14ac:dyDescent="0.25">
      <c r="A279" s="240">
        <v>41685</v>
      </c>
      <c r="B279" s="240"/>
      <c r="C279" s="213" t="s">
        <v>1548</v>
      </c>
      <c r="D279" s="212" t="s">
        <v>54</v>
      </c>
      <c r="E279" s="212" t="s">
        <v>1549</v>
      </c>
      <c r="F279" s="263" t="s">
        <v>1550</v>
      </c>
      <c r="G279" s="406"/>
      <c r="H279" s="406"/>
      <c r="I279" s="406"/>
      <c r="J279" s="180" t="s">
        <v>1551</v>
      </c>
      <c r="K279" s="25">
        <v>3107499</v>
      </c>
      <c r="L279" s="163"/>
      <c r="M279" s="25"/>
      <c r="N279" s="25"/>
      <c r="O279" s="26"/>
      <c r="P279" s="237"/>
      <c r="Q279" s="237"/>
      <c r="R279" s="223"/>
      <c r="S279" s="223"/>
      <c r="T279" s="223"/>
      <c r="U279" s="223"/>
      <c r="V279" s="223"/>
      <c r="W279" s="223"/>
      <c r="X279" s="223"/>
      <c r="Y279" s="223"/>
      <c r="Z279" s="223"/>
      <c r="AA279" s="223"/>
      <c r="AB279" s="223"/>
      <c r="AC279" s="223"/>
      <c r="AD279" s="223"/>
      <c r="AE279" s="223"/>
      <c r="AF279" s="223"/>
      <c r="AG279" s="223"/>
      <c r="AH279" s="223"/>
      <c r="AI279" s="223"/>
      <c r="AJ279" s="223"/>
      <c r="AK279" s="223"/>
      <c r="AL279" s="223"/>
      <c r="AM279" s="223"/>
      <c r="AN279" s="256" t="s">
        <v>1552</v>
      </c>
      <c r="AO279" s="256"/>
      <c r="AP279" s="25"/>
      <c r="AQ279" s="256"/>
      <c r="AR279" s="257"/>
      <c r="AS279" s="256"/>
      <c r="AT279" s="257" t="s">
        <v>1553</v>
      </c>
      <c r="AU279" s="257" t="s">
        <v>1554</v>
      </c>
      <c r="AV279" s="256" t="s">
        <v>1555</v>
      </c>
      <c r="AW279" s="256"/>
      <c r="AX279" s="256"/>
      <c r="AY279" s="256"/>
      <c r="AZ279" s="256"/>
      <c r="BA279" s="256"/>
      <c r="BB279" s="256"/>
      <c r="BC279" s="256"/>
      <c r="BD279" s="256"/>
      <c r="BE279" s="256"/>
      <c r="BF279" s="256"/>
      <c r="BG279" s="256"/>
      <c r="BH279" s="256"/>
      <c r="BI279" s="256"/>
      <c r="BJ279" s="256"/>
      <c r="BK279" s="119">
        <v>14.94</v>
      </c>
      <c r="BL279" s="244" t="s">
        <v>1556</v>
      </c>
      <c r="BM279" s="244" t="s">
        <v>1557</v>
      </c>
      <c r="BN279" s="244"/>
      <c r="BO279" s="244"/>
      <c r="BP279" s="244"/>
      <c r="BQ279" s="244"/>
      <c r="BR279" s="244"/>
      <c r="BS279" s="244"/>
      <c r="BT279" s="213">
        <v>4.9225000000000003</v>
      </c>
      <c r="BU279" s="213">
        <v>4.9225000000000003</v>
      </c>
      <c r="BV279" s="213">
        <v>6.6574999999999998</v>
      </c>
      <c r="BW279" s="92">
        <f>(BV279*BU279*BT279)/1728</f>
        <v>9.3355280155888315E-2</v>
      </c>
      <c r="BX279" s="213">
        <v>0.69</v>
      </c>
      <c r="BY279" s="213">
        <v>19.181000000000001</v>
      </c>
      <c r="BZ279" s="213">
        <v>14.430999999999999</v>
      </c>
      <c r="CA279" s="213">
        <v>6.6745000000000001</v>
      </c>
      <c r="CB279" s="92">
        <f t="shared" si="70"/>
        <v>1.0691599235645255</v>
      </c>
      <c r="CC279" s="213">
        <f>BX279*CG279+0.4</f>
        <v>8.68</v>
      </c>
      <c r="CD279" s="304"/>
      <c r="CE279" s="304"/>
      <c r="CF279" s="212" t="s">
        <v>135</v>
      </c>
      <c r="CG279" s="213">
        <v>12</v>
      </c>
      <c r="CH279" s="213">
        <v>6</v>
      </c>
      <c r="CI279" s="213">
        <v>6</v>
      </c>
      <c r="CJ279" s="27">
        <f t="shared" si="71"/>
        <v>432</v>
      </c>
      <c r="CK279" s="27">
        <f t="shared" si="72"/>
        <v>362.48</v>
      </c>
      <c r="CL279" s="27" t="s">
        <v>257</v>
      </c>
      <c r="CM279" s="27" t="s">
        <v>137</v>
      </c>
      <c r="CN279" s="14"/>
      <c r="CO279" s="14"/>
      <c r="CP279" s="261"/>
      <c r="CQ279" s="261"/>
      <c r="CR279" s="261"/>
      <c r="CS279" s="261"/>
      <c r="CT279" s="261"/>
      <c r="CU279" s="261"/>
    </row>
    <row r="280" spans="1:99" s="262" customFormat="1" ht="30" x14ac:dyDescent="0.25">
      <c r="A280" s="240">
        <v>41685</v>
      </c>
      <c r="B280" s="240"/>
      <c r="C280" s="213" t="s">
        <v>1327</v>
      </c>
      <c r="D280" s="213" t="s">
        <v>54</v>
      </c>
      <c r="E280" s="212" t="s">
        <v>1558</v>
      </c>
      <c r="F280" s="263" t="s">
        <v>1559</v>
      </c>
      <c r="G280" s="406"/>
      <c r="H280" s="406"/>
      <c r="I280" s="406"/>
      <c r="J280" s="180" t="s">
        <v>130</v>
      </c>
      <c r="K280" s="25" t="s">
        <v>1329</v>
      </c>
      <c r="L280" s="163"/>
      <c r="M280" s="25"/>
      <c r="N280" s="25"/>
      <c r="O280" s="26"/>
      <c r="P280" s="237"/>
      <c r="Q280" s="237"/>
      <c r="R280" s="223"/>
      <c r="S280" s="223"/>
      <c r="T280" s="223"/>
      <c r="U280" s="223"/>
      <c r="V280" s="223"/>
      <c r="W280" s="223"/>
      <c r="X280" s="223"/>
      <c r="Y280" s="223"/>
      <c r="Z280" s="223"/>
      <c r="AA280" s="223"/>
      <c r="AB280" s="223"/>
      <c r="AC280" s="223"/>
      <c r="AD280" s="223"/>
      <c r="AE280" s="223"/>
      <c r="AF280" s="223"/>
      <c r="AG280" s="223"/>
      <c r="AH280" s="223"/>
      <c r="AI280" s="223"/>
      <c r="AJ280" s="223"/>
      <c r="AK280" s="223"/>
      <c r="AL280" s="223"/>
      <c r="AM280" s="223"/>
      <c r="AN280" s="256"/>
      <c r="AO280" s="256"/>
      <c r="AP280" s="25"/>
      <c r="AQ280" s="256"/>
      <c r="AR280" s="257"/>
      <c r="AS280" s="256"/>
      <c r="AT280" s="257"/>
      <c r="AU280" s="257" t="s">
        <v>1330</v>
      </c>
      <c r="AV280" s="256"/>
      <c r="AW280" s="256"/>
      <c r="AX280" s="256"/>
      <c r="AY280" s="256"/>
      <c r="AZ280" s="256"/>
      <c r="BA280" s="256"/>
      <c r="BB280" s="256"/>
      <c r="BC280" s="256"/>
      <c r="BD280" s="256"/>
      <c r="BE280" s="256"/>
      <c r="BF280" s="256"/>
      <c r="BG280" s="256"/>
      <c r="BH280" s="256"/>
      <c r="BI280" s="256"/>
      <c r="BJ280" s="256"/>
      <c r="BK280" s="119">
        <v>87.38</v>
      </c>
      <c r="BL280" s="244" t="s">
        <v>1331</v>
      </c>
      <c r="BM280" s="244" t="s">
        <v>1560</v>
      </c>
      <c r="BN280" s="244"/>
      <c r="BO280" s="244"/>
      <c r="BP280" s="244"/>
      <c r="BQ280" s="244"/>
      <c r="BR280" s="244"/>
      <c r="BS280" s="244"/>
      <c r="BT280" s="213">
        <v>3.992</v>
      </c>
      <c r="BU280" s="213">
        <v>3.992</v>
      </c>
      <c r="BV280" s="213">
        <v>8.234</v>
      </c>
      <c r="BW280" s="92">
        <f>(BV280*BU280*BT280)/1728</f>
        <v>7.5936082740740748E-2</v>
      </c>
      <c r="BX280" s="213">
        <v>0.8</v>
      </c>
      <c r="BY280" s="213">
        <v>16.556000000000001</v>
      </c>
      <c r="BZ280" s="213">
        <v>12.555999999999999</v>
      </c>
      <c r="CA280" s="213">
        <v>8.8620000000000001</v>
      </c>
      <c r="CB280" s="92">
        <f t="shared" si="70"/>
        <v>1.0660921176111111</v>
      </c>
      <c r="CC280" s="213">
        <f>BX280*CG280+0.25</f>
        <v>9.8500000000000014</v>
      </c>
      <c r="CD280" s="304"/>
      <c r="CE280" s="304"/>
      <c r="CF280" s="212" t="s">
        <v>135</v>
      </c>
      <c r="CG280" s="213">
        <v>12</v>
      </c>
      <c r="CH280" s="213">
        <v>8</v>
      </c>
      <c r="CI280" s="213">
        <v>4</v>
      </c>
      <c r="CJ280" s="27">
        <f t="shared" si="71"/>
        <v>384</v>
      </c>
      <c r="CK280" s="27">
        <f t="shared" si="72"/>
        <v>365.20000000000005</v>
      </c>
      <c r="CL280" s="27" t="s">
        <v>257</v>
      </c>
      <c r="CM280" s="27" t="s">
        <v>137</v>
      </c>
      <c r="CN280" s="14"/>
      <c r="CO280" s="14"/>
      <c r="CP280" s="261"/>
      <c r="CQ280" s="261"/>
      <c r="CR280" s="261"/>
      <c r="CS280" s="261"/>
      <c r="CT280" s="261"/>
      <c r="CU280" s="261"/>
    </row>
    <row r="281" spans="1:99" s="262" customFormat="1" x14ac:dyDescent="0.25">
      <c r="A281" s="240">
        <v>41685</v>
      </c>
      <c r="B281" s="240"/>
      <c r="C281" s="213" t="s">
        <v>1561</v>
      </c>
      <c r="D281" s="213" t="s">
        <v>106</v>
      </c>
      <c r="E281" s="212" t="s">
        <v>1562</v>
      </c>
      <c r="F281" s="263" t="s">
        <v>1563</v>
      </c>
      <c r="G281" s="406"/>
      <c r="H281" s="406"/>
      <c r="I281" s="406"/>
      <c r="J281" s="180" t="s">
        <v>294</v>
      </c>
      <c r="K281" s="25" t="s">
        <v>1564</v>
      </c>
      <c r="L281" s="163"/>
      <c r="M281" s="25"/>
      <c r="N281" s="25"/>
      <c r="O281" s="26"/>
      <c r="P281" s="237"/>
      <c r="Q281" s="237"/>
      <c r="R281" s="223"/>
      <c r="S281" s="223"/>
      <c r="T281" s="223"/>
      <c r="U281" s="223"/>
      <c r="V281" s="223"/>
      <c r="W281" s="223"/>
      <c r="X281" s="223"/>
      <c r="Y281" s="223"/>
      <c r="Z281" s="223"/>
      <c r="AA281" s="223"/>
      <c r="AB281" s="223"/>
      <c r="AC281" s="223"/>
      <c r="AD281" s="223"/>
      <c r="AE281" s="223"/>
      <c r="AF281" s="223"/>
      <c r="AG281" s="223"/>
      <c r="AH281" s="223"/>
      <c r="AI281" s="223"/>
      <c r="AJ281" s="223"/>
      <c r="AK281" s="223"/>
      <c r="AL281" s="223"/>
      <c r="AM281" s="223"/>
      <c r="AN281" s="256"/>
      <c r="AO281" s="256"/>
      <c r="AP281" s="25">
        <v>83640</v>
      </c>
      <c r="AQ281" s="256"/>
      <c r="AR281" s="257"/>
      <c r="AS281" s="256"/>
      <c r="AT281" s="257"/>
      <c r="AU281" s="257" t="s">
        <v>1565</v>
      </c>
      <c r="AV281" s="256" t="s">
        <v>1566</v>
      </c>
      <c r="AW281" s="256"/>
      <c r="AX281" s="256"/>
      <c r="AY281" s="256"/>
      <c r="AZ281" s="256"/>
      <c r="BA281" s="256" t="s">
        <v>1567</v>
      </c>
      <c r="BB281" s="256"/>
      <c r="BC281" s="256"/>
      <c r="BD281" s="256">
        <v>9640</v>
      </c>
      <c r="BE281" s="256" t="s">
        <v>1568</v>
      </c>
      <c r="BF281" s="256" t="s">
        <v>1569</v>
      </c>
      <c r="BG281" s="256" t="s">
        <v>1570</v>
      </c>
      <c r="BH281" s="256"/>
      <c r="BI281" s="256" t="s">
        <v>1571</v>
      </c>
      <c r="BJ281" s="256" t="s">
        <v>1572</v>
      </c>
      <c r="BK281" s="119">
        <v>52.97</v>
      </c>
      <c r="BL281" s="244" t="s">
        <v>1573</v>
      </c>
      <c r="BM281" s="244" t="s">
        <v>1574</v>
      </c>
      <c r="BN281" s="244"/>
      <c r="BO281" s="244"/>
      <c r="BP281" s="244"/>
      <c r="BQ281" s="244"/>
      <c r="BR281" s="244"/>
      <c r="BS281" s="244"/>
      <c r="BT281" s="213">
        <v>8.6560000000000006</v>
      </c>
      <c r="BU281" s="213">
        <v>2.286</v>
      </c>
      <c r="BV281" s="213">
        <v>13.942</v>
      </c>
      <c r="BW281" s="92">
        <f>(BV281*BU281*BT281)/1728</f>
        <v>0.15965216566666668</v>
      </c>
      <c r="BX281" s="213">
        <v>0.4</v>
      </c>
      <c r="BY281" s="213">
        <v>14.5</v>
      </c>
      <c r="BZ281" s="213">
        <v>9.25</v>
      </c>
      <c r="CA281" s="213">
        <v>7.5</v>
      </c>
      <c r="CB281" s="92">
        <f t="shared" si="70"/>
        <v>0.58213975694444442</v>
      </c>
      <c r="CC281" s="213">
        <f>BX281*CG281+0.4</f>
        <v>1.6</v>
      </c>
      <c r="CD281" s="304"/>
      <c r="CE281" s="304"/>
      <c r="CF281" s="212" t="s">
        <v>135</v>
      </c>
      <c r="CG281" s="213">
        <v>3</v>
      </c>
      <c r="CH281" s="213">
        <v>13</v>
      </c>
      <c r="CI281" s="213">
        <v>6</v>
      </c>
      <c r="CJ281" s="27">
        <f t="shared" si="71"/>
        <v>234</v>
      </c>
      <c r="CK281" s="27">
        <f t="shared" si="72"/>
        <v>174.8</v>
      </c>
      <c r="CL281" s="213" t="s">
        <v>150</v>
      </c>
      <c r="CM281" s="27" t="s">
        <v>137</v>
      </c>
      <c r="CN281" s="14"/>
      <c r="CO281" s="14"/>
      <c r="CP281" s="261"/>
      <c r="CQ281" s="261"/>
      <c r="CR281" s="261"/>
      <c r="CS281" s="261"/>
      <c r="CT281" s="261"/>
      <c r="CU281" s="261"/>
    </row>
    <row r="282" spans="1:99" s="262" customFormat="1" x14ac:dyDescent="0.25">
      <c r="A282" s="240">
        <v>41685</v>
      </c>
      <c r="B282" s="240"/>
      <c r="C282" s="213" t="s">
        <v>1575</v>
      </c>
      <c r="D282" s="213" t="s">
        <v>106</v>
      </c>
      <c r="E282" s="212" t="s">
        <v>1576</v>
      </c>
      <c r="F282" s="263" t="s">
        <v>1577</v>
      </c>
      <c r="G282" s="406"/>
      <c r="H282" s="406"/>
      <c r="I282" s="406"/>
      <c r="J282" s="180" t="s">
        <v>413</v>
      </c>
      <c r="K282" s="25" t="s">
        <v>1578</v>
      </c>
      <c r="L282" s="163"/>
      <c r="M282" s="25"/>
      <c r="N282" s="25"/>
      <c r="O282" s="26"/>
      <c r="P282" s="237"/>
      <c r="Q282" s="237"/>
      <c r="R282" s="223"/>
      <c r="S282" s="223"/>
      <c r="T282" s="223"/>
      <c r="U282" s="223"/>
      <c r="V282" s="223"/>
      <c r="W282" s="223"/>
      <c r="X282" s="223"/>
      <c r="Y282" s="223"/>
      <c r="Z282" s="223"/>
      <c r="AA282" s="223"/>
      <c r="AB282" s="223"/>
      <c r="AC282" s="223"/>
      <c r="AD282" s="223"/>
      <c r="AE282" s="223"/>
      <c r="AF282" s="223"/>
      <c r="AG282" s="223"/>
      <c r="AH282" s="223"/>
      <c r="AI282" s="223"/>
      <c r="AJ282" s="223"/>
      <c r="AK282" s="223"/>
      <c r="AL282" s="223"/>
      <c r="AM282" s="223"/>
      <c r="AN282" s="256"/>
      <c r="AO282" s="256"/>
      <c r="AP282" s="25">
        <v>83700</v>
      </c>
      <c r="AQ282" s="256"/>
      <c r="AR282" s="257"/>
      <c r="AS282" s="256"/>
      <c r="AT282" s="257"/>
      <c r="AU282" s="257" t="s">
        <v>1579</v>
      </c>
      <c r="AV282" s="256" t="s">
        <v>1580</v>
      </c>
      <c r="AW282" s="256"/>
      <c r="AX282" s="256"/>
      <c r="AY282" s="256"/>
      <c r="AZ282" s="256"/>
      <c r="BA282" s="256"/>
      <c r="BB282" s="256"/>
      <c r="BC282" s="256"/>
      <c r="BD282" s="256">
        <v>9700</v>
      </c>
      <c r="BE282" s="256" t="s">
        <v>1581</v>
      </c>
      <c r="BF282" s="256" t="s">
        <v>1581</v>
      </c>
      <c r="BG282" s="223"/>
      <c r="BH282" s="223"/>
      <c r="BI282" s="256" t="s">
        <v>1582</v>
      </c>
      <c r="BJ282" s="256" t="s">
        <v>1583</v>
      </c>
      <c r="BK282" s="119">
        <v>23.86</v>
      </c>
      <c r="BL282" s="244" t="s">
        <v>1584</v>
      </c>
      <c r="BM282" s="244" t="s">
        <v>1585</v>
      </c>
      <c r="BN282" s="244"/>
      <c r="BO282" s="244"/>
      <c r="BP282" s="244"/>
      <c r="BQ282" s="244"/>
      <c r="BR282" s="244"/>
      <c r="BS282" s="244"/>
      <c r="BT282" s="521" t="s">
        <v>876</v>
      </c>
      <c r="BU282" s="525"/>
      <c r="BV282" s="525"/>
      <c r="BW282" s="525"/>
      <c r="BX282" s="525"/>
      <c r="BY282" s="213">
        <v>15.37</v>
      </c>
      <c r="BZ282" s="213">
        <v>9.75</v>
      </c>
      <c r="CA282" s="213">
        <v>9</v>
      </c>
      <c r="CB282" s="92">
        <f t="shared" si="70"/>
        <v>0.78050781250000001</v>
      </c>
      <c r="CC282" s="213">
        <v>1.7800000000000002</v>
      </c>
      <c r="CD282" s="304"/>
      <c r="CE282" s="304"/>
      <c r="CF282" s="212" t="s">
        <v>135</v>
      </c>
      <c r="CG282" s="213">
        <v>6</v>
      </c>
      <c r="CH282" s="213">
        <v>12</v>
      </c>
      <c r="CI282" s="213">
        <v>4</v>
      </c>
      <c r="CJ282" s="27">
        <f t="shared" si="71"/>
        <v>288</v>
      </c>
      <c r="CK282" s="27">
        <f t="shared" si="72"/>
        <v>135.44</v>
      </c>
      <c r="CL282" s="213" t="s">
        <v>140</v>
      </c>
      <c r="CM282" s="27" t="s">
        <v>137</v>
      </c>
      <c r="CN282" s="14"/>
      <c r="CO282" s="14"/>
      <c r="CP282" s="261"/>
      <c r="CQ282" s="261"/>
      <c r="CR282" s="261"/>
      <c r="CS282" s="261"/>
      <c r="CT282" s="261"/>
      <c r="CU282" s="261"/>
    </row>
    <row r="283" spans="1:99" s="262" customFormat="1" x14ac:dyDescent="0.25">
      <c r="A283" s="240">
        <v>41685</v>
      </c>
      <c r="B283" s="240"/>
      <c r="C283" s="213" t="s">
        <v>1586</v>
      </c>
      <c r="D283" s="213" t="s">
        <v>106</v>
      </c>
      <c r="E283" s="212" t="s">
        <v>1562</v>
      </c>
      <c r="F283" s="263" t="s">
        <v>1587</v>
      </c>
      <c r="G283" s="406"/>
      <c r="H283" s="406"/>
      <c r="I283" s="406"/>
      <c r="J283" s="180" t="s">
        <v>236</v>
      </c>
      <c r="K283" s="25" t="s">
        <v>1588</v>
      </c>
      <c r="L283" s="163"/>
      <c r="M283" s="25"/>
      <c r="N283" s="25"/>
      <c r="O283" s="26"/>
      <c r="P283" s="237"/>
      <c r="Q283" s="237"/>
      <c r="R283" s="223"/>
      <c r="S283" s="223"/>
      <c r="T283" s="223"/>
      <c r="U283" s="223"/>
      <c r="V283" s="223"/>
      <c r="W283" s="223"/>
      <c r="X283" s="223"/>
      <c r="Y283" s="223"/>
      <c r="Z283" s="223"/>
      <c r="AA283" s="223"/>
      <c r="AB283" s="223"/>
      <c r="AC283" s="223"/>
      <c r="AD283" s="223"/>
      <c r="AE283" s="223"/>
      <c r="AF283" s="223"/>
      <c r="AG283" s="223"/>
      <c r="AH283" s="223"/>
      <c r="AI283" s="223"/>
      <c r="AJ283" s="223"/>
      <c r="AK283" s="223"/>
      <c r="AL283" s="223"/>
      <c r="AM283" s="223"/>
      <c r="AN283" s="256" t="s">
        <v>1589</v>
      </c>
      <c r="AO283" s="256"/>
      <c r="AP283" s="25">
        <v>83630</v>
      </c>
      <c r="AQ283" s="256"/>
      <c r="AR283" s="257"/>
      <c r="AS283" s="256"/>
      <c r="AT283" s="257"/>
      <c r="AU283" s="257" t="s">
        <v>1590</v>
      </c>
      <c r="AV283" s="256" t="s">
        <v>1591</v>
      </c>
      <c r="AW283" s="256"/>
      <c r="AX283" s="256" t="s">
        <v>1592</v>
      </c>
      <c r="AY283" s="256"/>
      <c r="AZ283" s="256"/>
      <c r="BA283" s="256"/>
      <c r="BB283" s="256"/>
      <c r="BC283" s="256"/>
      <c r="BD283" s="256">
        <v>9630</v>
      </c>
      <c r="BE283" s="256" t="s">
        <v>1593</v>
      </c>
      <c r="BF283" s="256" t="s">
        <v>1594</v>
      </c>
      <c r="BG283" s="256" t="s">
        <v>1595</v>
      </c>
      <c r="BH283" s="256"/>
      <c r="BI283" s="256" t="s">
        <v>1596</v>
      </c>
      <c r="BJ283" s="256" t="s">
        <v>1597</v>
      </c>
      <c r="BK283" s="119">
        <v>21.89</v>
      </c>
      <c r="BL283" s="244" t="s">
        <v>1598</v>
      </c>
      <c r="BM283" s="244" t="s">
        <v>1599</v>
      </c>
      <c r="BN283" s="244"/>
      <c r="BO283" s="244"/>
      <c r="BP283" s="244"/>
      <c r="BQ283" s="244"/>
      <c r="BR283" s="244"/>
      <c r="BS283" s="244"/>
      <c r="BT283" s="213">
        <v>8.5359999999999996</v>
      </c>
      <c r="BU283" s="213">
        <v>2.4060000000000001</v>
      </c>
      <c r="BV283" s="213">
        <v>10.692</v>
      </c>
      <c r="BW283" s="92">
        <f t="shared" ref="BW283:BW290" si="73">(BV283*BU283*BT283)/1728</f>
        <v>0.12707649899999998</v>
      </c>
      <c r="BX283" s="213">
        <v>0.6</v>
      </c>
      <c r="BY283" s="213">
        <v>12.25</v>
      </c>
      <c r="BZ283" s="213">
        <v>10.25</v>
      </c>
      <c r="CA283" s="213">
        <v>8.25</v>
      </c>
      <c r="CB283" s="92">
        <f t="shared" si="70"/>
        <v>0.59947374131944442</v>
      </c>
      <c r="CC283" s="213">
        <f t="shared" ref="CC283:CC288" si="74">BX283*CG283+0.4</f>
        <v>2.1999999999999997</v>
      </c>
      <c r="CD283" s="304"/>
      <c r="CE283" s="304"/>
      <c r="CF283" s="212" t="s">
        <v>135</v>
      </c>
      <c r="CG283" s="213">
        <v>3</v>
      </c>
      <c r="CH283" s="213">
        <v>12</v>
      </c>
      <c r="CI283" s="213">
        <v>5</v>
      </c>
      <c r="CJ283" s="27">
        <f t="shared" si="71"/>
        <v>180</v>
      </c>
      <c r="CK283" s="27">
        <f t="shared" si="72"/>
        <v>182</v>
      </c>
      <c r="CL283" s="213" t="s">
        <v>140</v>
      </c>
      <c r="CM283" s="27" t="s">
        <v>137</v>
      </c>
      <c r="CN283" s="14"/>
      <c r="CO283" s="14"/>
      <c r="CP283" s="261"/>
      <c r="CQ283" s="261"/>
      <c r="CR283" s="261"/>
      <c r="CS283" s="261"/>
      <c r="CT283" s="261"/>
      <c r="CU283" s="261"/>
    </row>
    <row r="284" spans="1:99" s="262" customFormat="1" x14ac:dyDescent="0.25">
      <c r="A284" s="240">
        <v>41685</v>
      </c>
      <c r="B284" s="240"/>
      <c r="C284" s="213" t="s">
        <v>1600</v>
      </c>
      <c r="D284" s="213" t="s">
        <v>106</v>
      </c>
      <c r="E284" s="212" t="s">
        <v>1562</v>
      </c>
      <c r="F284" s="263" t="s">
        <v>1601</v>
      </c>
      <c r="G284" s="406"/>
      <c r="H284" s="406"/>
      <c r="I284" s="406"/>
      <c r="J284" s="180" t="s">
        <v>236</v>
      </c>
      <c r="K284" s="25" t="s">
        <v>1602</v>
      </c>
      <c r="L284" s="163"/>
      <c r="M284" s="25"/>
      <c r="N284" s="25"/>
      <c r="O284" s="26"/>
      <c r="P284" s="237"/>
      <c r="Q284" s="237"/>
      <c r="R284" s="223"/>
      <c r="S284" s="223"/>
      <c r="T284" s="223"/>
      <c r="U284" s="223"/>
      <c r="V284" s="223"/>
      <c r="W284" s="223"/>
      <c r="X284" s="223"/>
      <c r="Y284" s="223"/>
      <c r="Z284" s="223"/>
      <c r="AA284" s="223"/>
      <c r="AB284" s="223"/>
      <c r="AC284" s="223"/>
      <c r="AD284" s="223"/>
      <c r="AE284" s="223"/>
      <c r="AF284" s="223"/>
      <c r="AG284" s="223"/>
      <c r="AH284" s="223"/>
      <c r="AI284" s="223"/>
      <c r="AJ284" s="223"/>
      <c r="AK284" s="223"/>
      <c r="AL284" s="223"/>
      <c r="AM284" s="223"/>
      <c r="AN284" s="256" t="s">
        <v>1603</v>
      </c>
      <c r="AO284" s="256"/>
      <c r="AP284" s="25">
        <v>83031</v>
      </c>
      <c r="AQ284" s="256"/>
      <c r="AR284" s="257"/>
      <c r="AS284" s="256"/>
      <c r="AT284" s="257"/>
      <c r="AU284" s="257" t="s">
        <v>1604</v>
      </c>
      <c r="AV284" s="256" t="s">
        <v>1605</v>
      </c>
      <c r="AW284" s="256"/>
      <c r="AX284" s="256" t="s">
        <v>1606</v>
      </c>
      <c r="AY284" s="256"/>
      <c r="AZ284" s="256"/>
      <c r="BA284" s="256" t="s">
        <v>1607</v>
      </c>
      <c r="BB284" s="256"/>
      <c r="BC284" s="256"/>
      <c r="BD284" s="256">
        <v>9031</v>
      </c>
      <c r="BE284" s="256" t="s">
        <v>1608</v>
      </c>
      <c r="BF284" s="256" t="s">
        <v>1609</v>
      </c>
      <c r="BG284" s="256"/>
      <c r="BH284" s="256"/>
      <c r="BI284" s="256" t="s">
        <v>1610</v>
      </c>
      <c r="BJ284" s="256" t="s">
        <v>1611</v>
      </c>
      <c r="BK284" s="119">
        <v>26.14</v>
      </c>
      <c r="BL284" s="244" t="s">
        <v>1612</v>
      </c>
      <c r="BM284" s="244" t="s">
        <v>1613</v>
      </c>
      <c r="BN284" s="244"/>
      <c r="BO284" s="244"/>
      <c r="BP284" s="244"/>
      <c r="BQ284" s="244"/>
      <c r="BR284" s="244"/>
      <c r="BS284" s="244"/>
      <c r="BT284" s="213">
        <v>8.5359999999999996</v>
      </c>
      <c r="BU284" s="213">
        <v>2.4060000000000001</v>
      </c>
      <c r="BV284" s="213">
        <v>10.692</v>
      </c>
      <c r="BW284" s="92">
        <f t="shared" si="73"/>
        <v>0.12707649899999998</v>
      </c>
      <c r="BX284" s="213">
        <v>0.6</v>
      </c>
      <c r="BY284" s="213">
        <v>12.25</v>
      </c>
      <c r="BZ284" s="213">
        <v>10.25</v>
      </c>
      <c r="CA284" s="213">
        <v>8.25</v>
      </c>
      <c r="CB284" s="92">
        <f t="shared" si="70"/>
        <v>0.59947374131944442</v>
      </c>
      <c r="CC284" s="213">
        <f t="shared" si="74"/>
        <v>2.1999999999999997</v>
      </c>
      <c r="CD284" s="304"/>
      <c r="CE284" s="304"/>
      <c r="CF284" s="212" t="s">
        <v>135</v>
      </c>
      <c r="CG284" s="213">
        <v>3</v>
      </c>
      <c r="CH284" s="213">
        <v>12</v>
      </c>
      <c r="CI284" s="213">
        <v>5</v>
      </c>
      <c r="CJ284" s="27">
        <f t="shared" si="71"/>
        <v>180</v>
      </c>
      <c r="CK284" s="27">
        <f t="shared" si="72"/>
        <v>182</v>
      </c>
      <c r="CL284" s="213" t="s">
        <v>136</v>
      </c>
      <c r="CM284" s="27" t="s">
        <v>137</v>
      </c>
      <c r="CN284" s="14"/>
      <c r="CO284" s="14"/>
      <c r="CP284" s="261"/>
      <c r="CQ284" s="261"/>
      <c r="CR284" s="261"/>
      <c r="CS284" s="261"/>
      <c r="CT284" s="261"/>
      <c r="CU284" s="261"/>
    </row>
    <row r="285" spans="1:99" s="262" customFormat="1" x14ac:dyDescent="0.25">
      <c r="A285" s="240">
        <v>41685</v>
      </c>
      <c r="B285" s="240"/>
      <c r="C285" s="213" t="s">
        <v>1614</v>
      </c>
      <c r="D285" s="213" t="s">
        <v>106</v>
      </c>
      <c r="E285" s="212" t="s">
        <v>1562</v>
      </c>
      <c r="F285" s="263" t="s">
        <v>1615</v>
      </c>
      <c r="G285" s="406"/>
      <c r="H285" s="406"/>
      <c r="I285" s="406"/>
      <c r="J285" s="180" t="s">
        <v>236</v>
      </c>
      <c r="K285" s="25" t="s">
        <v>1616</v>
      </c>
      <c r="L285" s="163"/>
      <c r="M285" s="25"/>
      <c r="N285" s="25"/>
      <c r="O285" s="26"/>
      <c r="P285" s="237"/>
      <c r="Q285" s="237"/>
      <c r="R285" s="223"/>
      <c r="S285" s="223"/>
      <c r="T285" s="223"/>
      <c r="U285" s="223"/>
      <c r="V285" s="223"/>
      <c r="W285" s="223"/>
      <c r="X285" s="223"/>
      <c r="Y285" s="223"/>
      <c r="Z285" s="223"/>
      <c r="AA285" s="223"/>
      <c r="AB285" s="223"/>
      <c r="AC285" s="223"/>
      <c r="AD285" s="223"/>
      <c r="AE285" s="223"/>
      <c r="AF285" s="223"/>
      <c r="AG285" s="223"/>
      <c r="AH285" s="223"/>
      <c r="AI285" s="223"/>
      <c r="AJ285" s="223"/>
      <c r="AK285" s="223"/>
      <c r="AL285" s="223"/>
      <c r="AM285" s="223"/>
      <c r="AN285" s="256" t="s">
        <v>1617</v>
      </c>
      <c r="AO285" s="256"/>
      <c r="AP285" s="25">
        <v>83530</v>
      </c>
      <c r="AQ285" s="256"/>
      <c r="AR285" s="257"/>
      <c r="AS285" s="256"/>
      <c r="AT285" s="257"/>
      <c r="AU285" s="257" t="s">
        <v>1618</v>
      </c>
      <c r="AV285" s="256" t="s">
        <v>1619</v>
      </c>
      <c r="AW285" s="256"/>
      <c r="AX285" s="256" t="s">
        <v>1620</v>
      </c>
      <c r="AY285" s="256"/>
      <c r="AZ285" s="256"/>
      <c r="BA285" s="256"/>
      <c r="BB285" s="256"/>
      <c r="BC285" s="256"/>
      <c r="BD285" s="256">
        <v>9530</v>
      </c>
      <c r="BE285" s="256" t="s">
        <v>1621</v>
      </c>
      <c r="BF285" s="256" t="s">
        <v>1622</v>
      </c>
      <c r="BG285" s="256" t="s">
        <v>1623</v>
      </c>
      <c r="BH285" s="256"/>
      <c r="BI285" s="256" t="s">
        <v>1624</v>
      </c>
      <c r="BJ285" s="256" t="s">
        <v>1625</v>
      </c>
      <c r="BK285" s="119">
        <v>15.95</v>
      </c>
      <c r="BL285" s="244" t="s">
        <v>1626</v>
      </c>
      <c r="BM285" s="244" t="s">
        <v>1627</v>
      </c>
      <c r="BN285" s="244"/>
      <c r="BO285" s="244"/>
      <c r="BP285" s="244"/>
      <c r="BQ285" s="244"/>
      <c r="BR285" s="244"/>
      <c r="BS285" s="244"/>
      <c r="BT285" s="213">
        <v>7.0359999999999996</v>
      </c>
      <c r="BU285" s="213">
        <v>2.536</v>
      </c>
      <c r="BV285" s="213">
        <v>11.821999999999999</v>
      </c>
      <c r="BW285" s="92">
        <f t="shared" si="73"/>
        <v>0.12207375307407406</v>
      </c>
      <c r="BX285" s="213">
        <v>0.6</v>
      </c>
      <c r="BY285" s="213">
        <v>12.25</v>
      </c>
      <c r="BZ285" s="213">
        <v>7.5</v>
      </c>
      <c r="CA285" s="213">
        <v>8.5</v>
      </c>
      <c r="CB285" s="92">
        <f t="shared" si="70"/>
        <v>0.4519314236111111</v>
      </c>
      <c r="CC285" s="213">
        <f t="shared" si="74"/>
        <v>2.1999999999999997</v>
      </c>
      <c r="CD285" s="304"/>
      <c r="CE285" s="304"/>
      <c r="CF285" s="212" t="s">
        <v>135</v>
      </c>
      <c r="CG285" s="213">
        <v>3</v>
      </c>
      <c r="CH285" s="213">
        <v>20</v>
      </c>
      <c r="CI285" s="213">
        <v>5</v>
      </c>
      <c r="CJ285" s="27">
        <f t="shared" si="71"/>
        <v>300</v>
      </c>
      <c r="CK285" s="27">
        <f t="shared" si="72"/>
        <v>270</v>
      </c>
      <c r="CL285" s="213" t="s">
        <v>140</v>
      </c>
      <c r="CM285" s="27" t="s">
        <v>137</v>
      </c>
      <c r="CN285" s="14"/>
      <c r="CO285" s="14"/>
      <c r="CP285" s="261"/>
      <c r="CQ285" s="261"/>
      <c r="CR285" s="261"/>
      <c r="CS285" s="261"/>
      <c r="CT285" s="261"/>
      <c r="CU285" s="261"/>
    </row>
    <row r="286" spans="1:99" s="262" customFormat="1" ht="30" x14ac:dyDescent="0.25">
      <c r="A286" s="240">
        <v>41685</v>
      </c>
      <c r="B286" s="240"/>
      <c r="C286" s="213" t="s">
        <v>1628</v>
      </c>
      <c r="D286" s="213" t="s">
        <v>106</v>
      </c>
      <c r="E286" s="212" t="s">
        <v>1562</v>
      </c>
      <c r="F286" s="263" t="s">
        <v>1629</v>
      </c>
      <c r="G286" s="406"/>
      <c r="H286" s="406"/>
      <c r="I286" s="406"/>
      <c r="J286" s="180" t="s">
        <v>334</v>
      </c>
      <c r="K286" s="25" t="s">
        <v>1630</v>
      </c>
      <c r="L286" s="180" t="s">
        <v>279</v>
      </c>
      <c r="M286" s="25" t="s">
        <v>1631</v>
      </c>
      <c r="N286" s="25"/>
      <c r="O286" s="26"/>
      <c r="P286" s="237"/>
      <c r="Q286" s="237"/>
      <c r="R286" s="223"/>
      <c r="S286" s="223"/>
      <c r="T286" s="223"/>
      <c r="U286" s="223"/>
      <c r="V286" s="223"/>
      <c r="W286" s="223"/>
      <c r="X286" s="223"/>
      <c r="Y286" s="223"/>
      <c r="Z286" s="223"/>
      <c r="AA286" s="223"/>
      <c r="AB286" s="223"/>
      <c r="AC286" s="223"/>
      <c r="AD286" s="223"/>
      <c r="AE286" s="223"/>
      <c r="AF286" s="223"/>
      <c r="AG286" s="223"/>
      <c r="AH286" s="223"/>
      <c r="AI286" s="223"/>
      <c r="AJ286" s="223"/>
      <c r="AK286" s="223"/>
      <c r="AL286" s="223"/>
      <c r="AM286" s="223"/>
      <c r="AN286" s="256" t="s">
        <v>1632</v>
      </c>
      <c r="AO286" s="256"/>
      <c r="AP286" s="25">
        <v>83737</v>
      </c>
      <c r="AQ286" s="256"/>
      <c r="AR286" s="257"/>
      <c r="AS286" s="256"/>
      <c r="AT286" s="257"/>
      <c r="AU286" s="257" t="s">
        <v>1633</v>
      </c>
      <c r="AV286" s="256" t="s">
        <v>1634</v>
      </c>
      <c r="AW286" s="256"/>
      <c r="AX286" s="256" t="s">
        <v>1635</v>
      </c>
      <c r="AY286" s="256"/>
      <c r="AZ286" s="256"/>
      <c r="BA286" s="256"/>
      <c r="BB286" s="256"/>
      <c r="BC286" s="256"/>
      <c r="BD286" s="256">
        <v>9737</v>
      </c>
      <c r="BE286" s="256" t="s">
        <v>1636</v>
      </c>
      <c r="BF286" s="256" t="s">
        <v>1637</v>
      </c>
      <c r="BG286" s="256"/>
      <c r="BH286" s="256"/>
      <c r="BI286" s="256" t="s">
        <v>1638</v>
      </c>
      <c r="BJ286" s="256" t="s">
        <v>1639</v>
      </c>
      <c r="BK286" s="119">
        <v>24.04</v>
      </c>
      <c r="BL286" s="244" t="s">
        <v>1640</v>
      </c>
      <c r="BM286" s="244" t="s">
        <v>1641</v>
      </c>
      <c r="BN286" s="244"/>
      <c r="BO286" s="244"/>
      <c r="BP286" s="244"/>
      <c r="BQ286" s="244"/>
      <c r="BR286" s="244"/>
      <c r="BS286" s="244"/>
      <c r="BT286" s="213">
        <v>10.536</v>
      </c>
      <c r="BU286" s="213">
        <v>2.786</v>
      </c>
      <c r="BV286" s="213">
        <v>15.071999999999999</v>
      </c>
      <c r="BW286" s="92">
        <f t="shared" si="73"/>
        <v>0.25602597066666666</v>
      </c>
      <c r="BX286" s="213">
        <v>0.64</v>
      </c>
      <c r="BY286" s="213">
        <v>15.68</v>
      </c>
      <c r="BZ286" s="213">
        <v>11.81</v>
      </c>
      <c r="CA286" s="213">
        <v>9.6199999999999992</v>
      </c>
      <c r="CB286" s="92">
        <f t="shared" si="70"/>
        <v>1.0309255185185184</v>
      </c>
      <c r="CC286" s="213">
        <f t="shared" si="74"/>
        <v>2.3199999999999998</v>
      </c>
      <c r="CD286" s="304"/>
      <c r="CE286" s="304"/>
      <c r="CF286" s="212" t="s">
        <v>135</v>
      </c>
      <c r="CG286" s="213">
        <v>3</v>
      </c>
      <c r="CH286" s="213">
        <v>10</v>
      </c>
      <c r="CI286" s="213">
        <v>4</v>
      </c>
      <c r="CJ286" s="27">
        <f t="shared" si="71"/>
        <v>120</v>
      </c>
      <c r="CK286" s="27">
        <f t="shared" si="72"/>
        <v>142.80000000000001</v>
      </c>
      <c r="CL286" s="27" t="s">
        <v>257</v>
      </c>
      <c r="CM286" s="27" t="s">
        <v>137</v>
      </c>
      <c r="CN286" s="14"/>
      <c r="CO286" s="14"/>
      <c r="CP286" s="261"/>
      <c r="CQ286" s="261"/>
      <c r="CR286" s="261"/>
      <c r="CS286" s="261"/>
      <c r="CT286" s="261"/>
      <c r="CU286" s="261"/>
    </row>
    <row r="287" spans="1:99" s="262" customFormat="1" x14ac:dyDescent="0.25">
      <c r="A287" s="240">
        <v>41685</v>
      </c>
      <c r="B287" s="240"/>
      <c r="C287" s="213" t="s">
        <v>1642</v>
      </c>
      <c r="D287" s="213" t="s">
        <v>106</v>
      </c>
      <c r="E287" s="212" t="s">
        <v>1643</v>
      </c>
      <c r="F287" s="263" t="s">
        <v>1644</v>
      </c>
      <c r="G287" s="406"/>
      <c r="H287" s="406"/>
      <c r="I287" s="406"/>
      <c r="J287" s="180" t="s">
        <v>334</v>
      </c>
      <c r="K287" s="25" t="s">
        <v>1645</v>
      </c>
      <c r="L287" s="163"/>
      <c r="M287" s="25"/>
      <c r="N287" s="25"/>
      <c r="O287" s="26"/>
      <c r="P287" s="237"/>
      <c r="Q287" s="237"/>
      <c r="R287" s="223"/>
      <c r="S287" s="223"/>
      <c r="T287" s="223"/>
      <c r="U287" s="223"/>
      <c r="V287" s="223"/>
      <c r="W287" s="223"/>
      <c r="X287" s="223"/>
      <c r="Y287" s="223"/>
      <c r="Z287" s="223"/>
      <c r="AA287" s="223"/>
      <c r="AB287" s="223"/>
      <c r="AC287" s="223"/>
      <c r="AD287" s="223"/>
      <c r="AE287" s="223"/>
      <c r="AF287" s="223"/>
      <c r="AG287" s="223"/>
      <c r="AH287" s="223"/>
      <c r="AI287" s="223"/>
      <c r="AJ287" s="223"/>
      <c r="AK287" s="223"/>
      <c r="AL287" s="223"/>
      <c r="AM287" s="223"/>
      <c r="AN287" s="256"/>
      <c r="AO287" s="256"/>
      <c r="AP287" s="25">
        <v>83014</v>
      </c>
      <c r="AQ287" s="256"/>
      <c r="AR287" s="257"/>
      <c r="AS287" s="256"/>
      <c r="AT287" s="257"/>
      <c r="AU287" s="257" t="s">
        <v>1646</v>
      </c>
      <c r="AV287" s="256" t="s">
        <v>1647</v>
      </c>
      <c r="AW287" s="256"/>
      <c r="AX287" s="256"/>
      <c r="AY287" s="256"/>
      <c r="AZ287" s="256"/>
      <c r="BA287" s="256"/>
      <c r="BB287" s="256"/>
      <c r="BC287" s="256"/>
      <c r="BD287" s="256">
        <v>9014</v>
      </c>
      <c r="BE287" s="256" t="s">
        <v>1648</v>
      </c>
      <c r="BF287" s="256" t="s">
        <v>1649</v>
      </c>
      <c r="BG287" s="256" t="s">
        <v>1650</v>
      </c>
      <c r="BH287" s="256"/>
      <c r="BI287" s="256" t="s">
        <v>1651</v>
      </c>
      <c r="BJ287" s="256" t="s">
        <v>1652</v>
      </c>
      <c r="BK287" s="119">
        <v>13.51</v>
      </c>
      <c r="BL287" s="244" t="s">
        <v>1653</v>
      </c>
      <c r="BM287" s="244" t="s">
        <v>1654</v>
      </c>
      <c r="BN287" s="244"/>
      <c r="BO287" s="244"/>
      <c r="BP287" s="244"/>
      <c r="BQ287" s="244"/>
      <c r="BR287" s="244"/>
      <c r="BS287" s="244"/>
      <c r="BT287" s="213">
        <v>7.0359999999999996</v>
      </c>
      <c r="BU287" s="213">
        <v>7.0359999999999996</v>
      </c>
      <c r="BV287" s="213">
        <v>7.2519999999999998</v>
      </c>
      <c r="BW287" s="92">
        <f t="shared" si="73"/>
        <v>0.20776180937037034</v>
      </c>
      <c r="BX287" s="213">
        <v>0.65</v>
      </c>
      <c r="BY287" s="213">
        <v>21.75</v>
      </c>
      <c r="BZ287" s="213">
        <v>7.43</v>
      </c>
      <c r="CA287" s="213">
        <v>7.81</v>
      </c>
      <c r="CB287" s="92">
        <f t="shared" si="70"/>
        <v>0.73039092881944445</v>
      </c>
      <c r="CC287" s="213">
        <f t="shared" si="74"/>
        <v>2.35</v>
      </c>
      <c r="CD287" s="304"/>
      <c r="CE287" s="304"/>
      <c r="CF287" s="212" t="s">
        <v>135</v>
      </c>
      <c r="CG287" s="213">
        <v>3</v>
      </c>
      <c r="CH287" s="213">
        <v>10</v>
      </c>
      <c r="CI287" s="213">
        <v>5</v>
      </c>
      <c r="CJ287" s="27">
        <f t="shared" si="71"/>
        <v>150</v>
      </c>
      <c r="CK287" s="27">
        <f t="shared" si="72"/>
        <v>167.5</v>
      </c>
      <c r="CL287" s="213" t="s">
        <v>136</v>
      </c>
      <c r="CM287" s="27" t="s">
        <v>137</v>
      </c>
      <c r="CN287" s="14"/>
      <c r="CO287" s="14"/>
      <c r="CP287" s="261"/>
      <c r="CQ287" s="261"/>
      <c r="CR287" s="261"/>
      <c r="CS287" s="261"/>
      <c r="CT287" s="261"/>
      <c r="CU287" s="261"/>
    </row>
    <row r="288" spans="1:99" s="262" customFormat="1" x14ac:dyDescent="0.25">
      <c r="A288" s="240">
        <v>41685</v>
      </c>
      <c r="B288" s="240"/>
      <c r="C288" s="213" t="s">
        <v>1655</v>
      </c>
      <c r="D288" s="213" t="s">
        <v>106</v>
      </c>
      <c r="E288" s="212" t="s">
        <v>1562</v>
      </c>
      <c r="F288" s="263" t="s">
        <v>1656</v>
      </c>
      <c r="G288" s="406"/>
      <c r="H288" s="406"/>
      <c r="I288" s="406"/>
      <c r="J288" s="180" t="s">
        <v>236</v>
      </c>
      <c r="K288" s="25" t="s">
        <v>1657</v>
      </c>
      <c r="L288" s="163"/>
      <c r="M288" s="25"/>
      <c r="N288" s="25"/>
      <c r="O288" s="26"/>
      <c r="P288" s="237"/>
      <c r="Q288" s="237"/>
      <c r="R288" s="223"/>
      <c r="S288" s="223"/>
      <c r="T288" s="223"/>
      <c r="U288" s="223"/>
      <c r="V288" s="223"/>
      <c r="W288" s="223"/>
      <c r="X288" s="223"/>
      <c r="Y288" s="223"/>
      <c r="Z288" s="223"/>
      <c r="AA288" s="223"/>
      <c r="AB288" s="223"/>
      <c r="AC288" s="223"/>
      <c r="AD288" s="223"/>
      <c r="AE288" s="223"/>
      <c r="AF288" s="223"/>
      <c r="AG288" s="223"/>
      <c r="AH288" s="223"/>
      <c r="AI288" s="223"/>
      <c r="AJ288" s="223"/>
      <c r="AK288" s="223"/>
      <c r="AL288" s="223"/>
      <c r="AM288" s="223"/>
      <c r="AN288" s="256"/>
      <c r="AO288" s="256"/>
      <c r="AP288" s="25">
        <v>83610</v>
      </c>
      <c r="AQ288" s="256"/>
      <c r="AR288" s="257"/>
      <c r="AS288" s="256"/>
      <c r="AT288" s="257"/>
      <c r="AU288" s="257" t="s">
        <v>1658</v>
      </c>
      <c r="AV288" s="256" t="s">
        <v>1659</v>
      </c>
      <c r="AW288" s="256"/>
      <c r="AX288" s="256" t="s">
        <v>1660</v>
      </c>
      <c r="AY288" s="256"/>
      <c r="AZ288" s="256"/>
      <c r="BA288" s="256"/>
      <c r="BB288" s="256"/>
      <c r="BC288" s="256"/>
      <c r="BD288" s="256">
        <v>9610</v>
      </c>
      <c r="BE288" s="256" t="s">
        <v>1661</v>
      </c>
      <c r="BF288" s="256" t="s">
        <v>1662</v>
      </c>
      <c r="BG288" s="256"/>
      <c r="BH288" s="256"/>
      <c r="BI288" s="256" t="s">
        <v>1663</v>
      </c>
      <c r="BJ288" s="256" t="s">
        <v>1664</v>
      </c>
      <c r="BK288" s="119">
        <v>16.11</v>
      </c>
      <c r="BL288" s="244" t="s">
        <v>1665</v>
      </c>
      <c r="BM288" s="244" t="s">
        <v>1666</v>
      </c>
      <c r="BN288" s="244"/>
      <c r="BO288" s="244"/>
      <c r="BP288" s="244"/>
      <c r="BQ288" s="244"/>
      <c r="BR288" s="244"/>
      <c r="BS288" s="244"/>
      <c r="BT288" s="213">
        <v>7.7859999999999996</v>
      </c>
      <c r="BU288" s="213">
        <v>2.536</v>
      </c>
      <c r="BV288" s="213">
        <v>12.821999999999999</v>
      </c>
      <c r="BW288" s="92">
        <f t="shared" si="73"/>
        <v>0.14651283872222221</v>
      </c>
      <c r="BX288" s="213">
        <v>0.8</v>
      </c>
      <c r="BY288" s="213">
        <v>13.5</v>
      </c>
      <c r="BZ288" s="213">
        <v>8.25</v>
      </c>
      <c r="CA288" s="213">
        <v>8.5</v>
      </c>
      <c r="CB288" s="92">
        <f t="shared" si="70"/>
        <v>0.5478515625</v>
      </c>
      <c r="CC288" s="213">
        <f t="shared" si="74"/>
        <v>2.8000000000000003</v>
      </c>
      <c r="CD288" s="304"/>
      <c r="CE288" s="304"/>
      <c r="CF288" s="212" t="s">
        <v>135</v>
      </c>
      <c r="CG288" s="213">
        <v>3</v>
      </c>
      <c r="CH288" s="213">
        <v>14</v>
      </c>
      <c r="CI288" s="213">
        <v>5</v>
      </c>
      <c r="CJ288" s="27">
        <f t="shared" si="71"/>
        <v>210</v>
      </c>
      <c r="CK288" s="27">
        <f t="shared" si="72"/>
        <v>246</v>
      </c>
      <c r="CL288" s="213" t="s">
        <v>140</v>
      </c>
      <c r="CM288" s="27" t="s">
        <v>137</v>
      </c>
      <c r="CN288" s="14"/>
      <c r="CO288" s="14"/>
      <c r="CP288" s="261"/>
      <c r="CQ288" s="261"/>
      <c r="CR288" s="261"/>
      <c r="CS288" s="261"/>
      <c r="CT288" s="261"/>
      <c r="CU288" s="261"/>
    </row>
    <row r="289" spans="1:99" s="262" customFormat="1" ht="30" x14ac:dyDescent="0.25">
      <c r="A289" s="240">
        <v>41685</v>
      </c>
      <c r="B289" s="240"/>
      <c r="C289" s="213" t="s">
        <v>1667</v>
      </c>
      <c r="D289" s="213" t="s">
        <v>106</v>
      </c>
      <c r="E289" s="212" t="s">
        <v>1668</v>
      </c>
      <c r="F289" s="263" t="s">
        <v>1669</v>
      </c>
      <c r="G289" s="406"/>
      <c r="H289" s="406"/>
      <c r="I289" s="406"/>
      <c r="J289" s="180" t="s">
        <v>400</v>
      </c>
      <c r="K289" s="25" t="s">
        <v>1670</v>
      </c>
      <c r="L289" s="163"/>
      <c r="M289" s="25"/>
      <c r="N289" s="25"/>
      <c r="O289" s="26"/>
      <c r="P289" s="237"/>
      <c r="Q289" s="237"/>
      <c r="R289" s="223"/>
      <c r="S289" s="223"/>
      <c r="T289" s="223"/>
      <c r="U289" s="223"/>
      <c r="V289" s="223"/>
      <c r="W289" s="223"/>
      <c r="X289" s="223"/>
      <c r="Y289" s="223"/>
      <c r="Z289" s="223"/>
      <c r="AA289" s="223"/>
      <c r="AB289" s="223"/>
      <c r="AC289" s="223"/>
      <c r="AD289" s="223"/>
      <c r="AE289" s="223"/>
      <c r="AF289" s="223"/>
      <c r="AG289" s="223"/>
      <c r="AH289" s="223"/>
      <c r="AI289" s="223"/>
      <c r="AJ289" s="223"/>
      <c r="AK289" s="223"/>
      <c r="AL289" s="223"/>
      <c r="AM289" s="223"/>
      <c r="AN289" s="256"/>
      <c r="AO289" s="256"/>
      <c r="AP289" s="25">
        <v>84260</v>
      </c>
      <c r="AQ289" s="256"/>
      <c r="AR289" s="257"/>
      <c r="AS289" s="256" t="s">
        <v>1667</v>
      </c>
      <c r="AT289" s="257"/>
      <c r="AU289" s="257" t="s">
        <v>1671</v>
      </c>
      <c r="AV289" s="256"/>
      <c r="AW289" s="256"/>
      <c r="AX289" s="256"/>
      <c r="AY289" s="256"/>
      <c r="AZ289" s="256"/>
      <c r="BA289" s="256"/>
      <c r="BB289" s="256"/>
      <c r="BC289" s="256"/>
      <c r="BD289" s="256">
        <v>7260</v>
      </c>
      <c r="BE289" s="256" t="s">
        <v>1672</v>
      </c>
      <c r="BF289" s="256" t="s">
        <v>1673</v>
      </c>
      <c r="BG289" s="256"/>
      <c r="BH289" s="256"/>
      <c r="BI289" s="256" t="s">
        <v>1674</v>
      </c>
      <c r="BJ289" s="256" t="s">
        <v>1675</v>
      </c>
      <c r="BK289" s="119">
        <v>9.4499999999999993</v>
      </c>
      <c r="BL289" s="244" t="s">
        <v>1676</v>
      </c>
      <c r="BM289" s="244" t="s">
        <v>1677</v>
      </c>
      <c r="BN289" s="244"/>
      <c r="BO289" s="244"/>
      <c r="BP289" s="244"/>
      <c r="BQ289" s="244"/>
      <c r="BR289" s="244"/>
      <c r="BS289" s="244"/>
      <c r="BT289" s="213">
        <v>2.786</v>
      </c>
      <c r="BU289" s="213">
        <v>2.786</v>
      </c>
      <c r="BV289" s="213">
        <v>3.6970000000000001</v>
      </c>
      <c r="BW289" s="92">
        <f t="shared" si="73"/>
        <v>1.6606111002314815E-2</v>
      </c>
      <c r="BX289" s="213">
        <v>0.4</v>
      </c>
      <c r="BY289" s="213">
        <v>9</v>
      </c>
      <c r="BZ289" s="213">
        <v>6.25</v>
      </c>
      <c r="CA289" s="213">
        <v>4.37</v>
      </c>
      <c r="CB289" s="92">
        <f t="shared" si="70"/>
        <v>0.14225260416666666</v>
      </c>
      <c r="CC289" s="213">
        <f>BX289*CG289+0.25</f>
        <v>2.6500000000000004</v>
      </c>
      <c r="CD289" s="304"/>
      <c r="CE289" s="304"/>
      <c r="CF289" s="212" t="s">
        <v>135</v>
      </c>
      <c r="CG289" s="213">
        <v>6</v>
      </c>
      <c r="CH289" s="213">
        <v>30</v>
      </c>
      <c r="CI289" s="213">
        <v>10</v>
      </c>
      <c r="CJ289" s="27">
        <f t="shared" si="71"/>
        <v>1800</v>
      </c>
      <c r="CK289" s="27">
        <f t="shared" si="72"/>
        <v>845.00000000000011</v>
      </c>
      <c r="CL289" s="213" t="s">
        <v>140</v>
      </c>
      <c r="CM289" s="27" t="s">
        <v>137</v>
      </c>
      <c r="CN289" s="14"/>
      <c r="CO289" s="14"/>
      <c r="CP289" s="261"/>
      <c r="CQ289" s="261"/>
      <c r="CR289" s="261"/>
      <c r="CS289" s="261"/>
      <c r="CT289" s="261"/>
      <c r="CU289" s="261"/>
    </row>
    <row r="290" spans="1:99" s="262" customFormat="1" ht="30" x14ac:dyDescent="0.25">
      <c r="A290" s="240">
        <v>41685</v>
      </c>
      <c r="B290" s="240"/>
      <c r="C290" s="213" t="s">
        <v>1678</v>
      </c>
      <c r="D290" s="213" t="s">
        <v>106</v>
      </c>
      <c r="E290" s="212" t="s">
        <v>1668</v>
      </c>
      <c r="F290" s="263" t="s">
        <v>1679</v>
      </c>
      <c r="G290" s="406"/>
      <c r="H290" s="406"/>
      <c r="I290" s="406"/>
      <c r="J290" s="180" t="s">
        <v>279</v>
      </c>
      <c r="K290" s="25" t="s">
        <v>1680</v>
      </c>
      <c r="L290" s="163" t="s">
        <v>1347</v>
      </c>
      <c r="M290" s="25">
        <v>95810722210</v>
      </c>
      <c r="N290" s="25"/>
      <c r="O290" s="26"/>
      <c r="P290" s="237"/>
      <c r="Q290" s="237"/>
      <c r="R290" s="223"/>
      <c r="S290" s="223"/>
      <c r="T290" s="223"/>
      <c r="U290" s="223"/>
      <c r="V290" s="223"/>
      <c r="W290" s="223"/>
      <c r="X290" s="223"/>
      <c r="Y290" s="223"/>
      <c r="Z290" s="223"/>
      <c r="AA290" s="223"/>
      <c r="AB290" s="223"/>
      <c r="AC290" s="223"/>
      <c r="AD290" s="223"/>
      <c r="AE290" s="223"/>
      <c r="AF290" s="223"/>
      <c r="AG290" s="223"/>
      <c r="AH290" s="223"/>
      <c r="AI290" s="223"/>
      <c r="AJ290" s="223"/>
      <c r="AK290" s="223"/>
      <c r="AL290" s="223"/>
      <c r="AM290" s="223"/>
      <c r="AN290" s="256"/>
      <c r="AO290" s="256"/>
      <c r="AP290" s="25">
        <v>84462</v>
      </c>
      <c r="AQ290" s="256"/>
      <c r="AR290" s="257"/>
      <c r="AS290" s="256" t="s">
        <v>1678</v>
      </c>
      <c r="AT290" s="257"/>
      <c r="AU290" s="257" t="s">
        <v>1681</v>
      </c>
      <c r="AV290" s="256" t="s">
        <v>1682</v>
      </c>
      <c r="AW290" s="256"/>
      <c r="AX290" s="256"/>
      <c r="AY290" s="256"/>
      <c r="AZ290" s="256"/>
      <c r="BA290" s="256"/>
      <c r="BB290" s="256"/>
      <c r="BC290" s="256"/>
      <c r="BD290" s="256">
        <v>7462</v>
      </c>
      <c r="BE290" s="256" t="s">
        <v>1683</v>
      </c>
      <c r="BF290" s="256" t="s">
        <v>1684</v>
      </c>
      <c r="BG290" s="256"/>
      <c r="BH290" s="256"/>
      <c r="BI290" s="256" t="s">
        <v>1685</v>
      </c>
      <c r="BJ290" s="256" t="s">
        <v>1686</v>
      </c>
      <c r="BK290" s="119">
        <v>15.19</v>
      </c>
      <c r="BL290" s="244" t="s">
        <v>1687</v>
      </c>
      <c r="BM290" s="244" t="s">
        <v>1688</v>
      </c>
      <c r="BN290" s="244"/>
      <c r="BO290" s="244"/>
      <c r="BP290" s="244"/>
      <c r="BQ290" s="244"/>
      <c r="BR290" s="244"/>
      <c r="BS290" s="244"/>
      <c r="BT290" s="213">
        <v>3.8479999999999999</v>
      </c>
      <c r="BU290" s="213">
        <v>3.8479999999999999</v>
      </c>
      <c r="BV290" s="213">
        <v>5.4470000000000001</v>
      </c>
      <c r="BW290" s="92">
        <f t="shared" si="73"/>
        <v>4.6674939518518511E-2</v>
      </c>
      <c r="BX290" s="213">
        <v>0.5</v>
      </c>
      <c r="BY290" s="213">
        <v>11.93</v>
      </c>
      <c r="BZ290" s="213">
        <v>8</v>
      </c>
      <c r="CA290" s="213">
        <v>6</v>
      </c>
      <c r="CB290" s="92">
        <f t="shared" si="70"/>
        <v>0.3313888888888889</v>
      </c>
      <c r="CC290" s="213">
        <f>BX290*CG290+0.25</f>
        <v>3.25</v>
      </c>
      <c r="CD290" s="304"/>
      <c r="CE290" s="304"/>
      <c r="CF290" s="212" t="s">
        <v>135</v>
      </c>
      <c r="CG290" s="213">
        <v>6</v>
      </c>
      <c r="CH290" s="213">
        <v>20</v>
      </c>
      <c r="CI290" s="213">
        <v>7</v>
      </c>
      <c r="CJ290" s="27">
        <f t="shared" si="71"/>
        <v>840</v>
      </c>
      <c r="CK290" s="27">
        <f t="shared" si="72"/>
        <v>505</v>
      </c>
      <c r="CL290" s="213" t="s">
        <v>322</v>
      </c>
      <c r="CM290" s="27" t="s">
        <v>137</v>
      </c>
      <c r="CN290" s="14"/>
      <c r="CO290" s="14"/>
      <c r="CP290" s="261"/>
      <c r="CQ290" s="261"/>
      <c r="CR290" s="261"/>
      <c r="CS290" s="261"/>
      <c r="CT290" s="261"/>
      <c r="CU290" s="261"/>
    </row>
    <row r="291" spans="1:99" s="262" customFormat="1" ht="30" x14ac:dyDescent="0.25">
      <c r="A291" s="240">
        <v>41685</v>
      </c>
      <c r="B291" s="240"/>
      <c r="C291" s="213" t="s">
        <v>1689</v>
      </c>
      <c r="D291" s="213" t="s">
        <v>106</v>
      </c>
      <c r="E291" s="212" t="s">
        <v>1576</v>
      </c>
      <c r="F291" s="263" t="s">
        <v>1690</v>
      </c>
      <c r="G291" s="406"/>
      <c r="H291" s="406"/>
      <c r="I291" s="406"/>
      <c r="J291" s="180" t="s">
        <v>91</v>
      </c>
      <c r="K291" s="25" t="s">
        <v>1691</v>
      </c>
      <c r="L291" s="163" t="s">
        <v>47</v>
      </c>
      <c r="M291" s="25" t="s">
        <v>1692</v>
      </c>
      <c r="N291" s="25"/>
      <c r="O291" s="26"/>
      <c r="P291" s="237"/>
      <c r="Q291" s="237"/>
      <c r="R291" s="223"/>
      <c r="S291" s="223"/>
      <c r="T291" s="223"/>
      <c r="U291" s="223"/>
      <c r="V291" s="223"/>
      <c r="W291" s="223"/>
      <c r="X291" s="223"/>
      <c r="Y291" s="223"/>
      <c r="Z291" s="223"/>
      <c r="AA291" s="223"/>
      <c r="AB291" s="223"/>
      <c r="AC291" s="223"/>
      <c r="AD291" s="223"/>
      <c r="AE291" s="223"/>
      <c r="AF291" s="223"/>
      <c r="AG291" s="223"/>
      <c r="AH291" s="223"/>
      <c r="AI291" s="223"/>
      <c r="AJ291" s="223"/>
      <c r="AK291" s="223"/>
      <c r="AL291" s="223"/>
      <c r="AM291" s="223"/>
      <c r="AN291" s="256"/>
      <c r="AO291" s="256"/>
      <c r="AP291" s="25">
        <v>89367</v>
      </c>
      <c r="AQ291" s="256"/>
      <c r="AR291" s="257"/>
      <c r="AS291" s="256"/>
      <c r="AT291" s="257"/>
      <c r="AU291" s="257" t="s">
        <v>1693</v>
      </c>
      <c r="AV291" s="256" t="s">
        <v>1694</v>
      </c>
      <c r="AW291" s="256"/>
      <c r="AX291" s="256"/>
      <c r="AY291" s="256"/>
      <c r="AZ291" s="256"/>
      <c r="BA291" s="256"/>
      <c r="BB291" s="256"/>
      <c r="BC291" s="256"/>
      <c r="BD291" s="256">
        <v>4367</v>
      </c>
      <c r="BE291" s="256" t="s">
        <v>1695</v>
      </c>
      <c r="BF291" s="256" t="s">
        <v>1695</v>
      </c>
      <c r="BG291" s="256" t="s">
        <v>1689</v>
      </c>
      <c r="BH291" s="256"/>
      <c r="BI291" s="256" t="s">
        <v>1696</v>
      </c>
      <c r="BJ291" s="256" t="s">
        <v>1697</v>
      </c>
      <c r="BK291" s="119">
        <v>19.809999999999999</v>
      </c>
      <c r="BL291" s="244" t="s">
        <v>1698</v>
      </c>
      <c r="BM291" s="244" t="s">
        <v>1699</v>
      </c>
      <c r="BN291" s="244"/>
      <c r="BO291" s="244"/>
      <c r="BP291" s="244"/>
      <c r="BQ291" s="244"/>
      <c r="BR291" s="244"/>
      <c r="BS291" s="244"/>
      <c r="BT291" s="521" t="s">
        <v>876</v>
      </c>
      <c r="BU291" s="525"/>
      <c r="BV291" s="525"/>
      <c r="BW291" s="525"/>
      <c r="BX291" s="525"/>
      <c r="BY291" s="213">
        <v>12</v>
      </c>
      <c r="BZ291" s="213">
        <v>12</v>
      </c>
      <c r="CA291" s="213">
        <v>9</v>
      </c>
      <c r="CB291" s="92">
        <f t="shared" si="70"/>
        <v>0.75</v>
      </c>
      <c r="CC291" s="213">
        <v>1.69</v>
      </c>
      <c r="CD291" s="304"/>
      <c r="CE291" s="304"/>
      <c r="CF291" s="212" t="s">
        <v>135</v>
      </c>
      <c r="CG291" s="213">
        <v>6</v>
      </c>
      <c r="CH291" s="213">
        <v>12</v>
      </c>
      <c r="CI291" s="213">
        <v>5</v>
      </c>
      <c r="CJ291" s="27">
        <f t="shared" si="71"/>
        <v>360</v>
      </c>
      <c r="CK291" s="27">
        <f t="shared" si="72"/>
        <v>151.4</v>
      </c>
      <c r="CL291" s="27" t="s">
        <v>257</v>
      </c>
      <c r="CM291" s="27" t="s">
        <v>137</v>
      </c>
      <c r="CN291" s="14"/>
      <c r="CO291" s="14"/>
      <c r="CP291" s="261"/>
      <c r="CQ291" s="261"/>
      <c r="CR291" s="261"/>
      <c r="CS291" s="261"/>
      <c r="CT291" s="261"/>
      <c r="CU291" s="261"/>
    </row>
    <row r="292" spans="1:99" s="262" customFormat="1" ht="30" customHeight="1" x14ac:dyDescent="0.25">
      <c r="A292" s="240">
        <v>41671</v>
      </c>
      <c r="B292" s="240"/>
      <c r="C292" s="213" t="s">
        <v>1700</v>
      </c>
      <c r="D292" s="215" t="s">
        <v>54</v>
      </c>
      <c r="E292" s="263" t="s">
        <v>1701</v>
      </c>
      <c r="F292" s="264" t="s">
        <v>1702</v>
      </c>
      <c r="G292" s="264"/>
      <c r="H292" s="264"/>
      <c r="I292" s="264"/>
      <c r="J292" s="180" t="s">
        <v>644</v>
      </c>
      <c r="K292" s="180" t="s">
        <v>1703</v>
      </c>
      <c r="L292" s="25"/>
      <c r="M292" s="25"/>
      <c r="N292" s="25"/>
      <c r="O292" s="223"/>
      <c r="P292" s="223"/>
      <c r="Q292" s="223"/>
      <c r="R292" s="223"/>
      <c r="S292" s="223"/>
      <c r="T292" s="223"/>
      <c r="U292" s="223"/>
      <c r="V292" s="223"/>
      <c r="W292" s="223"/>
      <c r="X292" s="223"/>
      <c r="Y292" s="223"/>
      <c r="Z292" s="223"/>
      <c r="AA292" s="223"/>
      <c r="AB292" s="223"/>
      <c r="AC292" s="223"/>
      <c r="AD292" s="223"/>
      <c r="AE292" s="223"/>
      <c r="AF292" s="223"/>
      <c r="AG292" s="223"/>
      <c r="AH292" s="223"/>
      <c r="AI292" s="223"/>
      <c r="AJ292" s="223"/>
      <c r="AK292" s="223"/>
      <c r="AL292" s="223"/>
      <c r="AM292" s="223"/>
      <c r="AN292" s="256" t="s">
        <v>1704</v>
      </c>
      <c r="AO292" s="256"/>
      <c r="AP292" s="25"/>
      <c r="AQ292" s="256"/>
      <c r="AR292" s="257" t="s">
        <v>1705</v>
      </c>
      <c r="AS292" s="256"/>
      <c r="AT292" s="257" t="s">
        <v>1706</v>
      </c>
      <c r="AU292" s="256"/>
      <c r="AV292" s="256"/>
      <c r="AW292" s="256"/>
      <c r="AX292" s="256"/>
      <c r="AY292" s="256"/>
      <c r="AZ292" s="256"/>
      <c r="BA292" s="256"/>
      <c r="BB292" s="256"/>
      <c r="BC292" s="256"/>
      <c r="BD292" s="256"/>
      <c r="BE292" s="256"/>
      <c r="BF292" s="256"/>
      <c r="BG292" s="256"/>
      <c r="BH292" s="256"/>
      <c r="BI292" s="256"/>
      <c r="BJ292" s="256"/>
      <c r="BK292" s="119">
        <v>98.12</v>
      </c>
      <c r="BL292" s="213" t="s">
        <v>1707</v>
      </c>
      <c r="BM292" s="213" t="s">
        <v>1708</v>
      </c>
      <c r="BN292" s="213"/>
      <c r="BO292" s="213"/>
      <c r="BP292" s="213"/>
      <c r="BQ292" s="213"/>
      <c r="BR292" s="213"/>
      <c r="BS292" s="213"/>
      <c r="BT292" s="520" t="s">
        <v>356</v>
      </c>
      <c r="BU292" s="520"/>
      <c r="BV292" s="520"/>
      <c r="BW292" s="520"/>
      <c r="BX292" s="520"/>
      <c r="BY292" s="265">
        <v>2.375</v>
      </c>
      <c r="BZ292" s="265">
        <v>2.5</v>
      </c>
      <c r="CA292" s="265">
        <v>8.875</v>
      </c>
      <c r="CB292" s="92">
        <f t="shared" si="70"/>
        <v>3.0494972511574073E-2</v>
      </c>
      <c r="CC292" s="266">
        <f>0.55+0.1</f>
        <v>0.65</v>
      </c>
      <c r="CD292" s="266"/>
      <c r="CE292" s="266"/>
      <c r="CF292" s="213" t="s">
        <v>135</v>
      </c>
      <c r="CG292" s="213">
        <v>1</v>
      </c>
      <c r="CH292" s="213">
        <v>156</v>
      </c>
      <c r="CI292" s="213">
        <v>4</v>
      </c>
      <c r="CJ292" s="27">
        <f t="shared" si="71"/>
        <v>624</v>
      </c>
      <c r="CK292" s="27">
        <f t="shared" si="72"/>
        <v>455.6</v>
      </c>
      <c r="CL292" s="27" t="s">
        <v>650</v>
      </c>
      <c r="CM292" s="27" t="s">
        <v>137</v>
      </c>
      <c r="CN292" s="238"/>
      <c r="CO292" s="238"/>
      <c r="CP292" s="261"/>
      <c r="CQ292" s="261"/>
      <c r="CR292" s="261"/>
      <c r="CS292" s="261"/>
      <c r="CT292" s="261"/>
      <c r="CU292" s="261"/>
    </row>
    <row r="293" spans="1:99" s="262" customFormat="1" ht="30" x14ac:dyDescent="0.25">
      <c r="A293" s="240">
        <v>41671</v>
      </c>
      <c r="B293" s="240"/>
      <c r="C293" s="212" t="s">
        <v>1709</v>
      </c>
      <c r="D293" s="215" t="s">
        <v>54</v>
      </c>
      <c r="E293" s="263" t="s">
        <v>1710</v>
      </c>
      <c r="F293" s="252" t="s">
        <v>1711</v>
      </c>
      <c r="G293" s="252"/>
      <c r="H293" s="252"/>
      <c r="I293" s="252"/>
      <c r="J293" s="223" t="s">
        <v>520</v>
      </c>
      <c r="K293" s="215" t="s">
        <v>1712</v>
      </c>
      <c r="L293" s="25"/>
      <c r="M293" s="25"/>
      <c r="N293" s="25"/>
      <c r="O293" s="223"/>
      <c r="P293" s="223"/>
      <c r="Q293" s="223"/>
      <c r="R293" s="223"/>
      <c r="S293" s="223"/>
      <c r="T293" s="223"/>
      <c r="U293" s="223"/>
      <c r="V293" s="223"/>
      <c r="W293" s="223"/>
      <c r="X293" s="223"/>
      <c r="Y293" s="223"/>
      <c r="Z293" s="223"/>
      <c r="AA293" s="223"/>
      <c r="AB293" s="223"/>
      <c r="AC293" s="223"/>
      <c r="AD293" s="223"/>
      <c r="AE293" s="223"/>
      <c r="AF293" s="223"/>
      <c r="AG293" s="223"/>
      <c r="AH293" s="223"/>
      <c r="AI293" s="223"/>
      <c r="AJ293" s="223"/>
      <c r="AK293" s="223"/>
      <c r="AL293" s="223"/>
      <c r="AM293" s="223"/>
      <c r="AN293" s="256" t="s">
        <v>1713</v>
      </c>
      <c r="AO293" s="256"/>
      <c r="AP293" s="25"/>
      <c r="AQ293" s="256"/>
      <c r="AR293" s="257"/>
      <c r="AS293" s="256"/>
      <c r="AT293" s="257" t="s">
        <v>1714</v>
      </c>
      <c r="AU293" s="256" t="s">
        <v>1715</v>
      </c>
      <c r="AV293" s="256"/>
      <c r="AW293" s="256"/>
      <c r="AX293" s="256"/>
      <c r="AY293" s="256"/>
      <c r="AZ293" s="256"/>
      <c r="BA293" s="256"/>
      <c r="BB293" s="256"/>
      <c r="BC293" s="256"/>
      <c r="BD293" s="256"/>
      <c r="BE293" s="256"/>
      <c r="BF293" s="256"/>
      <c r="BG293" s="256"/>
      <c r="BH293" s="256"/>
      <c r="BI293" s="256"/>
      <c r="BJ293" s="256">
        <v>57799</v>
      </c>
      <c r="BK293" s="119">
        <v>31.95</v>
      </c>
      <c r="BL293" s="244" t="s">
        <v>1716</v>
      </c>
      <c r="BM293" s="244" t="s">
        <v>1717</v>
      </c>
      <c r="BN293" s="244"/>
      <c r="BO293" s="244"/>
      <c r="BP293" s="244"/>
      <c r="BQ293" s="244"/>
      <c r="BR293" s="244"/>
      <c r="BS293" s="244"/>
      <c r="BT293" s="521" t="s">
        <v>876</v>
      </c>
      <c r="BU293" s="525"/>
      <c r="BV293" s="525"/>
      <c r="BW293" s="525"/>
      <c r="BX293" s="525"/>
      <c r="BY293" s="94">
        <v>18.056000000000001</v>
      </c>
      <c r="BZ293" s="94">
        <v>12.055999999999999</v>
      </c>
      <c r="CA293" s="94">
        <v>11.231999999999999</v>
      </c>
      <c r="CB293" s="92">
        <f t="shared" si="70"/>
        <v>1.4149403839999997</v>
      </c>
      <c r="CC293" s="94">
        <f>3.5*6+0.4</f>
        <v>21.4</v>
      </c>
      <c r="CD293" s="302"/>
      <c r="CE293" s="302"/>
      <c r="CF293" s="212" t="s">
        <v>135</v>
      </c>
      <c r="CG293" s="212">
        <v>6</v>
      </c>
      <c r="CH293" s="212">
        <v>8</v>
      </c>
      <c r="CI293" s="212">
        <v>4</v>
      </c>
      <c r="CJ293" s="27">
        <f t="shared" si="71"/>
        <v>192</v>
      </c>
      <c r="CK293" s="27">
        <f t="shared" si="72"/>
        <v>734.8</v>
      </c>
      <c r="CL293" s="27" t="s">
        <v>257</v>
      </c>
      <c r="CM293" s="27" t="s">
        <v>137</v>
      </c>
      <c r="CN293" s="238"/>
      <c r="CO293" s="238"/>
      <c r="CP293" s="261"/>
      <c r="CQ293" s="261"/>
      <c r="CR293" s="261"/>
      <c r="CS293" s="261"/>
      <c r="CT293" s="261"/>
      <c r="CU293" s="261"/>
    </row>
    <row r="294" spans="1:99" s="262" customFormat="1" ht="15" customHeight="1" x14ac:dyDescent="0.25">
      <c r="A294" s="240">
        <v>41671</v>
      </c>
      <c r="B294" s="240"/>
      <c r="C294" s="213" t="s">
        <v>1718</v>
      </c>
      <c r="D294" s="215" t="s">
        <v>54</v>
      </c>
      <c r="E294" s="223" t="s">
        <v>1719</v>
      </c>
      <c r="F294" s="263" t="s">
        <v>1720</v>
      </c>
      <c r="G294" s="406"/>
      <c r="H294" s="406"/>
      <c r="I294" s="406"/>
      <c r="J294" s="263" t="s">
        <v>1721</v>
      </c>
      <c r="K294" s="25" t="s">
        <v>1722</v>
      </c>
      <c r="L294" s="163"/>
      <c r="M294" s="25"/>
      <c r="N294" s="25"/>
      <c r="O294" s="223"/>
      <c r="P294" s="223"/>
      <c r="Q294" s="223"/>
      <c r="R294" s="223"/>
      <c r="S294" s="223"/>
      <c r="T294" s="223"/>
      <c r="U294" s="223"/>
      <c r="V294" s="223"/>
      <c r="W294" s="223"/>
      <c r="X294" s="223"/>
      <c r="Y294" s="223"/>
      <c r="Z294" s="223"/>
      <c r="AA294" s="223"/>
      <c r="AB294" s="223"/>
      <c r="AC294" s="223"/>
      <c r="AD294" s="223"/>
      <c r="AE294" s="223"/>
      <c r="AF294" s="223"/>
      <c r="AG294" s="223"/>
      <c r="AH294" s="223"/>
      <c r="AI294" s="223"/>
      <c r="AJ294" s="223"/>
      <c r="AK294" s="223"/>
      <c r="AL294" s="223"/>
      <c r="AM294" s="223"/>
      <c r="AN294" s="256"/>
      <c r="AO294" s="256"/>
      <c r="AP294" s="25"/>
      <c r="AQ294" s="256"/>
      <c r="AR294" s="25" t="s">
        <v>1723</v>
      </c>
      <c r="AS294" s="256"/>
      <c r="AT294" s="25"/>
      <c r="AU294" s="256"/>
      <c r="AV294" s="256"/>
      <c r="AW294" s="256"/>
      <c r="AX294" s="256"/>
      <c r="AY294" s="256"/>
      <c r="AZ294" s="256"/>
      <c r="BA294" s="256"/>
      <c r="BB294" s="256"/>
      <c r="BC294" s="256"/>
      <c r="BD294" s="256"/>
      <c r="BE294" s="256"/>
      <c r="BF294" s="256"/>
      <c r="BG294" s="256"/>
      <c r="BH294" s="256"/>
      <c r="BI294" s="256"/>
      <c r="BJ294" s="256"/>
      <c r="BK294" s="119">
        <v>291.25</v>
      </c>
      <c r="BL294" s="213" t="s">
        <v>1724</v>
      </c>
      <c r="BM294" s="246">
        <v>10038568737110</v>
      </c>
      <c r="BN294" s="246"/>
      <c r="BO294" s="246"/>
      <c r="BP294" s="246"/>
      <c r="BQ294" s="246"/>
      <c r="BR294" s="246"/>
      <c r="BS294" s="246"/>
      <c r="BT294" s="520" t="s">
        <v>356</v>
      </c>
      <c r="BU294" s="520"/>
      <c r="BV294" s="520"/>
      <c r="BW294" s="520"/>
      <c r="BX294" s="520"/>
      <c r="BY294" s="265">
        <v>5.25</v>
      </c>
      <c r="BZ294" s="265">
        <v>5.25</v>
      </c>
      <c r="CA294" s="265">
        <v>20.5</v>
      </c>
      <c r="CB294" s="92">
        <f t="shared" si="70"/>
        <v>0.32698567708333331</v>
      </c>
      <c r="CC294" s="266">
        <v>3.25</v>
      </c>
      <c r="CD294" s="266"/>
      <c r="CE294" s="266"/>
      <c r="CF294" s="213" t="s">
        <v>135</v>
      </c>
      <c r="CG294" s="213">
        <v>1</v>
      </c>
      <c r="CH294" s="213">
        <v>36</v>
      </c>
      <c r="CI294" s="213">
        <v>2</v>
      </c>
      <c r="CJ294" s="27">
        <f t="shared" si="71"/>
        <v>72</v>
      </c>
      <c r="CK294" s="27">
        <f t="shared" si="72"/>
        <v>284</v>
      </c>
      <c r="CL294" s="27" t="s">
        <v>136</v>
      </c>
      <c r="CM294" s="27" t="s">
        <v>137</v>
      </c>
      <c r="CN294" s="238"/>
      <c r="CO294" s="238"/>
      <c r="CP294" s="261"/>
      <c r="CQ294" s="261"/>
      <c r="CR294" s="261"/>
      <c r="CS294" s="261"/>
      <c r="CT294" s="261"/>
      <c r="CU294" s="261"/>
    </row>
    <row r="295" spans="1:99" s="262" customFormat="1" ht="15" customHeight="1" x14ac:dyDescent="0.25">
      <c r="A295" s="240">
        <v>41671</v>
      </c>
      <c r="B295" s="240"/>
      <c r="C295" s="213" t="s">
        <v>1725</v>
      </c>
      <c r="D295" s="215" t="s">
        <v>54</v>
      </c>
      <c r="E295" s="223" t="s">
        <v>1726</v>
      </c>
      <c r="F295" s="263" t="s">
        <v>1727</v>
      </c>
      <c r="G295" s="406"/>
      <c r="H295" s="406"/>
      <c r="I295" s="406"/>
      <c r="J295" s="180" t="s">
        <v>1728</v>
      </c>
      <c r="K295" s="25" t="s">
        <v>1729</v>
      </c>
      <c r="L295" s="163"/>
      <c r="M295" s="25"/>
      <c r="N295" s="25"/>
      <c r="O295" s="223"/>
      <c r="P295" s="223"/>
      <c r="Q295" s="223"/>
      <c r="R295" s="223"/>
      <c r="S295" s="223"/>
      <c r="T295" s="223"/>
      <c r="U295" s="223"/>
      <c r="V295" s="223"/>
      <c r="W295" s="223"/>
      <c r="X295" s="223"/>
      <c r="Y295" s="223"/>
      <c r="Z295" s="223"/>
      <c r="AA295" s="223"/>
      <c r="AB295" s="223"/>
      <c r="AC295" s="223"/>
      <c r="AD295" s="223"/>
      <c r="AE295" s="223"/>
      <c r="AF295" s="223"/>
      <c r="AG295" s="223"/>
      <c r="AH295" s="223"/>
      <c r="AI295" s="223"/>
      <c r="AJ295" s="223"/>
      <c r="AK295" s="223"/>
      <c r="AL295" s="223"/>
      <c r="AM295" s="223"/>
      <c r="AN295" s="256" t="s">
        <v>1730</v>
      </c>
      <c r="AO295" s="256"/>
      <c r="AP295" s="25"/>
      <c r="AQ295" s="256"/>
      <c r="AR295" s="25" t="s">
        <v>1731</v>
      </c>
      <c r="AS295" s="256"/>
      <c r="AT295" s="25" t="s">
        <v>1732</v>
      </c>
      <c r="AU295" s="256" t="s">
        <v>1733</v>
      </c>
      <c r="AV295" s="256"/>
      <c r="AW295" s="256"/>
      <c r="AX295" s="256"/>
      <c r="AY295" s="256"/>
      <c r="AZ295" s="256"/>
      <c r="BA295" s="256"/>
      <c r="BB295" s="256"/>
      <c r="BC295" s="256"/>
      <c r="BD295" s="256"/>
      <c r="BE295" s="256" t="s">
        <v>1734</v>
      </c>
      <c r="BF295" s="256"/>
      <c r="BG295" s="256"/>
      <c r="BH295" s="256"/>
      <c r="BI295" s="256"/>
      <c r="BJ295" s="256">
        <v>42763</v>
      </c>
      <c r="BK295" s="119">
        <v>29.85</v>
      </c>
      <c r="BL295" s="213" t="s">
        <v>1735</v>
      </c>
      <c r="BM295" s="246">
        <v>10038568738018</v>
      </c>
      <c r="BN295" s="246"/>
      <c r="BO295" s="246"/>
      <c r="BP295" s="246"/>
      <c r="BQ295" s="246"/>
      <c r="BR295" s="246"/>
      <c r="BS295" s="246"/>
      <c r="BT295" s="520" t="s">
        <v>356</v>
      </c>
      <c r="BU295" s="520"/>
      <c r="BV295" s="520"/>
      <c r="BW295" s="520"/>
      <c r="BX295" s="520"/>
      <c r="BY295" s="265">
        <v>7.25</v>
      </c>
      <c r="BZ295" s="265">
        <v>9.1199999999999992</v>
      </c>
      <c r="CA295" s="265">
        <v>14.5</v>
      </c>
      <c r="CB295" s="92">
        <f t="shared" si="70"/>
        <v>0.5548263888888888</v>
      </c>
      <c r="CC295" s="266">
        <f>2.61+0.25</f>
        <v>2.86</v>
      </c>
      <c r="CD295" s="266"/>
      <c r="CE295" s="266"/>
      <c r="CF295" s="213" t="s">
        <v>135</v>
      </c>
      <c r="CG295" s="213">
        <v>1</v>
      </c>
      <c r="CH295" s="213">
        <v>13</v>
      </c>
      <c r="CI295" s="213">
        <v>5</v>
      </c>
      <c r="CJ295" s="27">
        <f t="shared" si="71"/>
        <v>65</v>
      </c>
      <c r="CK295" s="27">
        <f t="shared" si="72"/>
        <v>235.9</v>
      </c>
      <c r="CL295" s="27" t="s">
        <v>257</v>
      </c>
      <c r="CM295" s="27" t="s">
        <v>137</v>
      </c>
      <c r="CN295" s="238"/>
      <c r="CO295" s="238"/>
      <c r="CP295" s="261"/>
      <c r="CQ295" s="261"/>
      <c r="CR295" s="261"/>
      <c r="CS295" s="261"/>
      <c r="CT295" s="261"/>
      <c r="CU295" s="261"/>
    </row>
    <row r="296" spans="1:99" s="262" customFormat="1" ht="30" x14ac:dyDescent="0.25">
      <c r="A296" s="240">
        <v>41671</v>
      </c>
      <c r="B296" s="240"/>
      <c r="C296" s="212" t="s">
        <v>1736</v>
      </c>
      <c r="D296" s="215" t="s">
        <v>89</v>
      </c>
      <c r="E296" s="223" t="s">
        <v>72</v>
      </c>
      <c r="F296" s="263" t="s">
        <v>1737</v>
      </c>
      <c r="G296" s="406"/>
      <c r="H296" s="406"/>
      <c r="I296" s="406"/>
      <c r="J296" s="180" t="s">
        <v>334</v>
      </c>
      <c r="K296" s="25" t="s">
        <v>1738</v>
      </c>
      <c r="L296" s="25" t="s">
        <v>904</v>
      </c>
      <c r="M296" s="25" t="s">
        <v>1739</v>
      </c>
      <c r="N296" s="25"/>
      <c r="O296" s="223"/>
      <c r="P296" s="223"/>
      <c r="Q296" s="223"/>
      <c r="R296" s="223"/>
      <c r="S296" s="223"/>
      <c r="T296" s="223"/>
      <c r="U296" s="223"/>
      <c r="V296" s="223"/>
      <c r="W296" s="223"/>
      <c r="X296" s="223"/>
      <c r="Y296" s="223"/>
      <c r="Z296" s="223"/>
      <c r="AA296" s="223"/>
      <c r="AB296" s="223"/>
      <c r="AC296" s="223"/>
      <c r="AD296" s="223"/>
      <c r="AE296" s="223"/>
      <c r="AF296" s="223"/>
      <c r="AG296" s="223"/>
      <c r="AH296" s="223"/>
      <c r="AI296" s="223"/>
      <c r="AJ296" s="223"/>
      <c r="AK296" s="223"/>
      <c r="AL296" s="223"/>
      <c r="AM296" s="223"/>
      <c r="AN296" s="256"/>
      <c r="AO296" s="256"/>
      <c r="AP296" s="25">
        <v>83746</v>
      </c>
      <c r="AQ296" s="256"/>
      <c r="AR296" s="25"/>
      <c r="AS296" s="256"/>
      <c r="AT296" s="25"/>
      <c r="AU296" s="256" t="s">
        <v>1740</v>
      </c>
      <c r="AV296" s="256" t="s">
        <v>1741</v>
      </c>
      <c r="AW296" s="256"/>
      <c r="AX296" s="256" t="s">
        <v>1742</v>
      </c>
      <c r="AY296" s="256"/>
      <c r="AZ296" s="256"/>
      <c r="BA296" s="256"/>
      <c r="BB296" s="256" t="s">
        <v>1736</v>
      </c>
      <c r="BC296" s="256"/>
      <c r="BD296" s="256">
        <v>9746</v>
      </c>
      <c r="BE296" s="256" t="s">
        <v>1743</v>
      </c>
      <c r="BF296" s="256" t="s">
        <v>1744</v>
      </c>
      <c r="BG296" s="256"/>
      <c r="BH296" s="256"/>
      <c r="BI296" s="256" t="s">
        <v>1745</v>
      </c>
      <c r="BJ296" s="256">
        <v>49746</v>
      </c>
      <c r="BK296" s="119">
        <v>26.95</v>
      </c>
      <c r="BL296" s="244" t="s">
        <v>1746</v>
      </c>
      <c r="BM296" s="246">
        <v>10038568738315</v>
      </c>
      <c r="BN296" s="246"/>
      <c r="BO296" s="246"/>
      <c r="BP296" s="246"/>
      <c r="BQ296" s="246"/>
      <c r="BR296" s="246"/>
      <c r="BS296" s="246"/>
      <c r="BT296" s="265">
        <v>10.536</v>
      </c>
      <c r="BU296" s="265">
        <v>2.786</v>
      </c>
      <c r="BV296" s="265">
        <v>15.036</v>
      </c>
      <c r="BW296" s="92">
        <f>(BV296*BU296*BT296)/1728</f>
        <v>0.25541444366666666</v>
      </c>
      <c r="BX296" s="265">
        <f>0.81+0.1</f>
        <v>0.91</v>
      </c>
      <c r="BY296" s="265">
        <v>15.68</v>
      </c>
      <c r="BZ296" s="265">
        <v>11.81</v>
      </c>
      <c r="CA296" s="265">
        <v>9.6199999999999992</v>
      </c>
      <c r="CB296" s="92">
        <f t="shared" si="70"/>
        <v>1.0309255185185184</v>
      </c>
      <c r="CC296" s="266">
        <f>BX296*CG296</f>
        <v>2.73</v>
      </c>
      <c r="CD296" s="266"/>
      <c r="CE296" s="266"/>
      <c r="CF296" s="213" t="s">
        <v>135</v>
      </c>
      <c r="CG296" s="213">
        <v>3</v>
      </c>
      <c r="CH296" s="213">
        <v>10</v>
      </c>
      <c r="CI296" s="213">
        <v>4</v>
      </c>
      <c r="CJ296" s="27">
        <f t="shared" si="71"/>
        <v>120</v>
      </c>
      <c r="CK296" s="27">
        <f t="shared" si="72"/>
        <v>159.19999999999999</v>
      </c>
      <c r="CL296" s="27" t="s">
        <v>140</v>
      </c>
      <c r="CM296" s="27" t="s">
        <v>137</v>
      </c>
      <c r="CN296" s="238"/>
      <c r="CO296" s="238"/>
      <c r="CP296" s="261"/>
      <c r="CQ296" s="261"/>
      <c r="CR296" s="261"/>
      <c r="CS296" s="261"/>
      <c r="CT296" s="261"/>
      <c r="CU296" s="261"/>
    </row>
    <row r="297" spans="1:99" s="262" customFormat="1" x14ac:dyDescent="0.25">
      <c r="A297" s="240">
        <v>41671</v>
      </c>
      <c r="B297" s="240"/>
      <c r="C297" s="213" t="s">
        <v>1747</v>
      </c>
      <c r="D297" s="215" t="s">
        <v>89</v>
      </c>
      <c r="E297" s="223" t="s">
        <v>72</v>
      </c>
      <c r="F297" s="263" t="s">
        <v>1748</v>
      </c>
      <c r="G297" s="406"/>
      <c r="H297" s="406"/>
      <c r="I297" s="406"/>
      <c r="J297" s="180" t="s">
        <v>270</v>
      </c>
      <c r="K297" s="25" t="s">
        <v>1749</v>
      </c>
      <c r="L297" s="25"/>
      <c r="M297" s="25"/>
      <c r="N297" s="25"/>
      <c r="O297" s="223"/>
      <c r="P297" s="223"/>
      <c r="Q297" s="223"/>
      <c r="R297" s="223"/>
      <c r="S297" s="223"/>
      <c r="T297" s="223"/>
      <c r="U297" s="223"/>
      <c r="V297" s="223"/>
      <c r="W297" s="223"/>
      <c r="X297" s="223"/>
      <c r="Y297" s="223"/>
      <c r="Z297" s="223"/>
      <c r="AA297" s="223"/>
      <c r="AB297" s="223"/>
      <c r="AC297" s="223"/>
      <c r="AD297" s="223"/>
      <c r="AE297" s="223"/>
      <c r="AF297" s="223"/>
      <c r="AG297" s="223"/>
      <c r="AH297" s="223"/>
      <c r="AI297" s="223"/>
      <c r="AJ297" s="223"/>
      <c r="AK297" s="223"/>
      <c r="AL297" s="223"/>
      <c r="AM297" s="223"/>
      <c r="AN297" s="256"/>
      <c r="AO297" s="256"/>
      <c r="AP297" s="25"/>
      <c r="AQ297" s="256"/>
      <c r="AR297" s="25"/>
      <c r="AS297" s="256"/>
      <c r="AT297" s="25"/>
      <c r="AU297" s="256" t="s">
        <v>1750</v>
      </c>
      <c r="AV297" s="256"/>
      <c r="AW297" s="256"/>
      <c r="AX297" s="256"/>
      <c r="AY297" s="256"/>
      <c r="AZ297" s="256"/>
      <c r="BA297" s="256"/>
      <c r="BB297" s="256"/>
      <c r="BC297" s="256"/>
      <c r="BD297" s="256"/>
      <c r="BE297" s="256" t="s">
        <v>1751</v>
      </c>
      <c r="BF297" s="256" t="s">
        <v>1752</v>
      </c>
      <c r="BG297" s="256"/>
      <c r="BH297" s="256"/>
      <c r="BI297" s="256" t="s">
        <v>1753</v>
      </c>
      <c r="BJ297" s="256"/>
      <c r="BK297" s="119">
        <v>19.649999999999999</v>
      </c>
      <c r="BL297" s="244" t="s">
        <v>1754</v>
      </c>
      <c r="BM297" s="246">
        <v>10038568738322</v>
      </c>
      <c r="BN297" s="246"/>
      <c r="BO297" s="246"/>
      <c r="BP297" s="246"/>
      <c r="BQ297" s="246"/>
      <c r="BR297" s="246"/>
      <c r="BS297" s="246"/>
      <c r="BT297" s="265">
        <v>10.036</v>
      </c>
      <c r="BU297" s="265">
        <v>2.536</v>
      </c>
      <c r="BV297" s="265">
        <v>12.571999999999999</v>
      </c>
      <c r="BW297" s="92">
        <f>(BV297*BU297*BT297)/1728</f>
        <v>0.18516996140740738</v>
      </c>
      <c r="BX297" s="265">
        <f>0.78925+0.1</f>
        <v>0.88924999999999998</v>
      </c>
      <c r="BY297" s="265">
        <v>13.25</v>
      </c>
      <c r="BZ297" s="265">
        <v>11</v>
      </c>
      <c r="CA297" s="265">
        <v>9</v>
      </c>
      <c r="CB297" s="92">
        <f t="shared" si="70"/>
        <v>0.75911458333333337</v>
      </c>
      <c r="CC297" s="266">
        <f>BX297*CG297</f>
        <v>2.6677499999999998</v>
      </c>
      <c r="CD297" s="266"/>
      <c r="CE297" s="266"/>
      <c r="CF297" s="213" t="s">
        <v>135</v>
      </c>
      <c r="CG297" s="213">
        <v>3</v>
      </c>
      <c r="CH297" s="213">
        <v>12</v>
      </c>
      <c r="CI297" s="213">
        <v>4</v>
      </c>
      <c r="CJ297" s="27">
        <f t="shared" si="71"/>
        <v>144</v>
      </c>
      <c r="CK297" s="27">
        <f t="shared" si="72"/>
        <v>178.05199999999999</v>
      </c>
      <c r="CL297" s="27" t="s">
        <v>136</v>
      </c>
      <c r="CM297" s="27" t="s">
        <v>137</v>
      </c>
      <c r="CN297" s="238"/>
      <c r="CO297" s="238"/>
      <c r="CP297" s="261"/>
      <c r="CQ297" s="261"/>
      <c r="CR297" s="261"/>
      <c r="CS297" s="261"/>
      <c r="CT297" s="261"/>
      <c r="CU297" s="261"/>
    </row>
    <row r="298" spans="1:99" s="262" customFormat="1" x14ac:dyDescent="0.25">
      <c r="A298" s="240">
        <v>41671</v>
      </c>
      <c r="B298" s="240"/>
      <c r="C298" s="212" t="s">
        <v>1755</v>
      </c>
      <c r="D298" s="215" t="s">
        <v>106</v>
      </c>
      <c r="E298" s="223" t="s">
        <v>72</v>
      </c>
      <c r="F298" s="263" t="s">
        <v>1756</v>
      </c>
      <c r="G298" s="406"/>
      <c r="H298" s="406"/>
      <c r="I298" s="406"/>
      <c r="J298" s="180" t="s">
        <v>236</v>
      </c>
      <c r="K298" s="25" t="s">
        <v>1757</v>
      </c>
      <c r="L298" s="163"/>
      <c r="M298" s="25"/>
      <c r="N298" s="25"/>
      <c r="O298" s="223"/>
      <c r="P298" s="223"/>
      <c r="Q298" s="223"/>
      <c r="R298" s="223"/>
      <c r="S298" s="223"/>
      <c r="T298" s="223"/>
      <c r="U298" s="223"/>
      <c r="V298" s="223"/>
      <c r="W298" s="223"/>
      <c r="X298" s="223"/>
      <c r="Y298" s="223"/>
      <c r="Z298" s="223"/>
      <c r="AA298" s="223"/>
      <c r="AB298" s="223"/>
      <c r="AC298" s="223"/>
      <c r="AD298" s="223"/>
      <c r="AE298" s="223"/>
      <c r="AF298" s="223"/>
      <c r="AG298" s="223"/>
      <c r="AH298" s="223"/>
      <c r="AI298" s="223"/>
      <c r="AJ298" s="223"/>
      <c r="AK298" s="223"/>
      <c r="AL298" s="223"/>
      <c r="AM298" s="223"/>
      <c r="AN298" s="256"/>
      <c r="AO298" s="256"/>
      <c r="AP298" s="25"/>
      <c r="AQ298" s="256"/>
      <c r="AR298" s="25"/>
      <c r="AS298" s="256"/>
      <c r="AT298" s="25"/>
      <c r="AU298" s="256" t="s">
        <v>1758</v>
      </c>
      <c r="AV298" s="256"/>
      <c r="AW298" s="256"/>
      <c r="AX298" s="256"/>
      <c r="AY298" s="256"/>
      <c r="AZ298" s="256"/>
      <c r="BA298" s="256"/>
      <c r="BB298" s="256"/>
      <c r="BC298" s="256"/>
      <c r="BD298" s="256"/>
      <c r="BE298" s="256" t="s">
        <v>1759</v>
      </c>
      <c r="BF298" s="256" t="s">
        <v>1760</v>
      </c>
      <c r="BG298" s="256"/>
      <c r="BH298" s="256"/>
      <c r="BI298" s="256" t="s">
        <v>1761</v>
      </c>
      <c r="BJ298" s="256">
        <v>49091</v>
      </c>
      <c r="BK298" s="119">
        <v>27.93</v>
      </c>
      <c r="BL298" s="244" t="s">
        <v>1762</v>
      </c>
      <c r="BM298" s="244" t="s">
        <v>1763</v>
      </c>
      <c r="BN298" s="244"/>
      <c r="BO298" s="244"/>
      <c r="BP298" s="244"/>
      <c r="BQ298" s="244"/>
      <c r="BR298" s="244"/>
      <c r="BS298" s="244"/>
      <c r="BT298" s="94">
        <v>7.476</v>
      </c>
      <c r="BU298" s="94">
        <v>2.786</v>
      </c>
      <c r="BV298" s="94">
        <v>9.5719999999999992</v>
      </c>
      <c r="BW298" s="92">
        <f>(BV298*BU298*BT298)/1728</f>
        <v>0.11537437372222221</v>
      </c>
      <c r="BX298" s="94">
        <f>0.5+0.1</f>
        <v>0.6</v>
      </c>
      <c r="BY298" s="94">
        <v>8.625</v>
      </c>
      <c r="BZ298" s="94">
        <v>8.625</v>
      </c>
      <c r="CA298" s="94">
        <v>10.75</v>
      </c>
      <c r="CB298" s="92">
        <f t="shared" si="70"/>
        <v>0.46278889973958331</v>
      </c>
      <c r="CC298" s="94">
        <f>BX298*CG298+0.4</f>
        <v>2.1999999999999997</v>
      </c>
      <c r="CD298" s="302"/>
      <c r="CE298" s="302"/>
      <c r="CF298" s="212" t="s">
        <v>135</v>
      </c>
      <c r="CG298" s="212">
        <v>3</v>
      </c>
      <c r="CH298" s="212">
        <v>20</v>
      </c>
      <c r="CI298" s="212">
        <v>4</v>
      </c>
      <c r="CJ298" s="27">
        <f t="shared" si="71"/>
        <v>240</v>
      </c>
      <c r="CK298" s="27">
        <f t="shared" si="72"/>
        <v>225.99999999999997</v>
      </c>
      <c r="CL298" s="27" t="s">
        <v>140</v>
      </c>
      <c r="CM298" s="27" t="s">
        <v>137</v>
      </c>
      <c r="CN298" s="238"/>
      <c r="CO298" s="238"/>
      <c r="CP298" s="261"/>
      <c r="CQ298" s="261"/>
      <c r="CR298" s="261"/>
      <c r="CS298" s="261"/>
      <c r="CT298" s="261"/>
      <c r="CU298" s="261"/>
    </row>
    <row r="299" spans="1:99" s="262" customFormat="1" x14ac:dyDescent="0.25">
      <c r="A299" s="240">
        <v>41671</v>
      </c>
      <c r="B299" s="240"/>
      <c r="C299" s="212" t="s">
        <v>1764</v>
      </c>
      <c r="D299" s="215" t="s">
        <v>106</v>
      </c>
      <c r="E299" s="223" t="s">
        <v>72</v>
      </c>
      <c r="F299" s="263" t="s">
        <v>1765</v>
      </c>
      <c r="G299" s="406"/>
      <c r="H299" s="406"/>
      <c r="I299" s="406"/>
      <c r="J299" s="180" t="s">
        <v>47</v>
      </c>
      <c r="K299" s="25" t="s">
        <v>1766</v>
      </c>
      <c r="L299" s="163"/>
      <c r="M299" s="25"/>
      <c r="N299" s="25"/>
      <c r="O299" s="223"/>
      <c r="P299" s="223"/>
      <c r="Q299" s="223"/>
      <c r="R299" s="223"/>
      <c r="S299" s="223"/>
      <c r="T299" s="223"/>
      <c r="U299" s="223"/>
      <c r="V299" s="223"/>
      <c r="W299" s="223"/>
      <c r="X299" s="223"/>
      <c r="Y299" s="223"/>
      <c r="Z299" s="223"/>
      <c r="AA299" s="223"/>
      <c r="AB299" s="223"/>
      <c r="AC299" s="223"/>
      <c r="AD299" s="223"/>
      <c r="AE299" s="223"/>
      <c r="AF299" s="223"/>
      <c r="AG299" s="223"/>
      <c r="AH299" s="223"/>
      <c r="AI299" s="223"/>
      <c r="AJ299" s="223"/>
      <c r="AK299" s="223"/>
      <c r="AL299" s="223"/>
      <c r="AM299" s="223"/>
      <c r="AN299" s="256" t="s">
        <v>1767</v>
      </c>
      <c r="AO299" s="256"/>
      <c r="AP299" s="25"/>
      <c r="AQ299" s="256"/>
      <c r="AR299" s="25"/>
      <c r="AS299" s="256"/>
      <c r="AT299" s="25"/>
      <c r="AU299" s="256" t="s">
        <v>1768</v>
      </c>
      <c r="AV299" s="256"/>
      <c r="AW299" s="256"/>
      <c r="AX299" s="256"/>
      <c r="AY299" s="256"/>
      <c r="AZ299" s="256"/>
      <c r="BA299" s="256"/>
      <c r="BB299" s="256"/>
      <c r="BC299" s="256"/>
      <c r="BD299" s="256"/>
      <c r="BE299" s="256" t="s">
        <v>1769</v>
      </c>
      <c r="BF299" s="256" t="s">
        <v>1770</v>
      </c>
      <c r="BG299" s="256"/>
      <c r="BH299" s="256"/>
      <c r="BI299" s="256" t="s">
        <v>1771</v>
      </c>
      <c r="BJ299" s="256">
        <v>49017</v>
      </c>
      <c r="BK299" s="119">
        <v>20.96</v>
      </c>
      <c r="BL299" s="244" t="s">
        <v>1772</v>
      </c>
      <c r="BM299" s="244" t="s">
        <v>1773</v>
      </c>
      <c r="BN299" s="244"/>
      <c r="BO299" s="244"/>
      <c r="BP299" s="244"/>
      <c r="BQ299" s="244"/>
      <c r="BR299" s="244"/>
      <c r="BS299" s="244"/>
      <c r="BT299" s="94">
        <v>6.9660000000000002</v>
      </c>
      <c r="BU299" s="94">
        <v>6.9660000000000002</v>
      </c>
      <c r="BV299" s="94">
        <v>9.1920000000000002</v>
      </c>
      <c r="BW299" s="92">
        <f>(BV299*BU299*BT299)/1728</f>
        <v>0.25812687150000008</v>
      </c>
      <c r="BX299" s="94">
        <v>0.4</v>
      </c>
      <c r="BY299" s="94">
        <v>22.12</v>
      </c>
      <c r="BZ299" s="94">
        <v>10.119999999999999</v>
      </c>
      <c r="CA299" s="94">
        <v>10.37</v>
      </c>
      <c r="CB299" s="92">
        <f t="shared" si="70"/>
        <v>1.3433854907407408</v>
      </c>
      <c r="CC299" s="94">
        <f>BX299*CG299+0.4</f>
        <v>1.6</v>
      </c>
      <c r="CD299" s="302"/>
      <c r="CE299" s="302"/>
      <c r="CF299" s="212" t="s">
        <v>135</v>
      </c>
      <c r="CG299" s="212">
        <v>3</v>
      </c>
      <c r="CH299" s="212">
        <v>6</v>
      </c>
      <c r="CI299" s="212">
        <v>4</v>
      </c>
      <c r="CJ299" s="27">
        <f t="shared" si="71"/>
        <v>72</v>
      </c>
      <c r="CK299" s="27">
        <f t="shared" si="72"/>
        <v>88.4</v>
      </c>
      <c r="CL299" s="212" t="s">
        <v>150</v>
      </c>
      <c r="CM299" s="27" t="s">
        <v>137</v>
      </c>
      <c r="CN299" s="238"/>
      <c r="CO299" s="238"/>
      <c r="CP299" s="261"/>
      <c r="CQ299" s="261"/>
      <c r="CR299" s="261"/>
      <c r="CS299" s="261"/>
      <c r="CT299" s="261"/>
      <c r="CU299" s="261"/>
    </row>
    <row r="300" spans="1:99" s="262" customFormat="1" x14ac:dyDescent="0.25">
      <c r="A300" s="240">
        <v>41671</v>
      </c>
      <c r="B300" s="240"/>
      <c r="C300" s="212" t="s">
        <v>1774</v>
      </c>
      <c r="D300" s="215" t="s">
        <v>106</v>
      </c>
      <c r="E300" s="223" t="s">
        <v>72</v>
      </c>
      <c r="F300" s="263" t="s">
        <v>1775</v>
      </c>
      <c r="G300" s="406"/>
      <c r="H300" s="406"/>
      <c r="I300" s="406"/>
      <c r="J300" s="180" t="s">
        <v>270</v>
      </c>
      <c r="K300" s="25" t="s">
        <v>1776</v>
      </c>
      <c r="L300" s="163"/>
      <c r="M300" s="25"/>
      <c r="N300" s="25"/>
      <c r="O300" s="223"/>
      <c r="P300" s="223"/>
      <c r="Q300" s="223"/>
      <c r="R300" s="223"/>
      <c r="S300" s="223"/>
      <c r="T300" s="223"/>
      <c r="U300" s="223"/>
      <c r="V300" s="223"/>
      <c r="W300" s="223"/>
      <c r="X300" s="223"/>
      <c r="Y300" s="223"/>
      <c r="Z300" s="223"/>
      <c r="AA300" s="223"/>
      <c r="AB300" s="223"/>
      <c r="AC300" s="223"/>
      <c r="AD300" s="223"/>
      <c r="AE300" s="223"/>
      <c r="AF300" s="223"/>
      <c r="AG300" s="223"/>
      <c r="AH300" s="223"/>
      <c r="AI300" s="223"/>
      <c r="AJ300" s="223"/>
      <c r="AK300" s="223"/>
      <c r="AL300" s="223"/>
      <c r="AM300" s="223"/>
      <c r="AN300" s="256"/>
      <c r="AO300" s="256"/>
      <c r="AP300" s="25">
        <v>83022</v>
      </c>
      <c r="AQ300" s="256"/>
      <c r="AR300" s="25"/>
      <c r="AS300" s="256"/>
      <c r="AT300" s="25"/>
      <c r="AU300" s="256" t="s">
        <v>1777</v>
      </c>
      <c r="AV300" s="256"/>
      <c r="AW300" s="256"/>
      <c r="AX300" s="256" t="s">
        <v>1778</v>
      </c>
      <c r="AY300" s="256"/>
      <c r="AZ300" s="256"/>
      <c r="BA300" s="256"/>
      <c r="BB300" s="256"/>
      <c r="BC300" s="256"/>
      <c r="BD300" s="256"/>
      <c r="BE300" s="256" t="s">
        <v>1779</v>
      </c>
      <c r="BF300" s="256" t="s">
        <v>1780</v>
      </c>
      <c r="BG300" s="256" t="s">
        <v>1781</v>
      </c>
      <c r="BH300" s="256"/>
      <c r="BI300" s="256" t="s">
        <v>1782</v>
      </c>
      <c r="BJ300" s="256">
        <v>49022</v>
      </c>
      <c r="BK300" s="119">
        <v>12.93</v>
      </c>
      <c r="BL300" s="244" t="s">
        <v>1783</v>
      </c>
      <c r="BM300" s="244" t="s">
        <v>1784</v>
      </c>
      <c r="BN300" s="244"/>
      <c r="BO300" s="244"/>
      <c r="BP300" s="244"/>
      <c r="BQ300" s="244"/>
      <c r="BR300" s="244"/>
      <c r="BS300" s="244"/>
      <c r="BT300" s="221">
        <v>7.0359999999999996</v>
      </c>
      <c r="BU300" s="221">
        <v>2.536</v>
      </c>
      <c r="BV300" s="221">
        <v>11.821999999999999</v>
      </c>
      <c r="BW300" s="92">
        <f>(BV300*BU300*BT300)/1728</f>
        <v>0.12207375307407406</v>
      </c>
      <c r="BX300" s="94">
        <v>0.55000000000000004</v>
      </c>
      <c r="BY300" s="94">
        <v>12.25</v>
      </c>
      <c r="BZ300" s="94">
        <v>7.5</v>
      </c>
      <c r="CA300" s="94">
        <v>8.5</v>
      </c>
      <c r="CB300" s="92">
        <f t="shared" si="70"/>
        <v>0.4519314236111111</v>
      </c>
      <c r="CC300" s="221">
        <f>BX300*CG300+0.25</f>
        <v>1.9000000000000001</v>
      </c>
      <c r="CD300" s="303"/>
      <c r="CE300" s="303"/>
      <c r="CF300" s="213" t="s">
        <v>135</v>
      </c>
      <c r="CG300" s="213">
        <v>3</v>
      </c>
      <c r="CH300" s="213">
        <v>20</v>
      </c>
      <c r="CI300" s="213">
        <v>5</v>
      </c>
      <c r="CJ300" s="27">
        <f t="shared" si="71"/>
        <v>300</v>
      </c>
      <c r="CK300" s="27">
        <f t="shared" si="72"/>
        <v>240</v>
      </c>
      <c r="CL300" s="212" t="s">
        <v>322</v>
      </c>
      <c r="CM300" s="27" t="s">
        <v>137</v>
      </c>
      <c r="CN300" s="238"/>
      <c r="CO300" s="238"/>
      <c r="CP300" s="261"/>
      <c r="CQ300" s="261"/>
      <c r="CR300" s="261"/>
      <c r="CS300" s="261"/>
      <c r="CT300" s="261"/>
      <c r="CU300" s="261"/>
    </row>
    <row r="301" spans="1:99" s="262" customFormat="1" x14ac:dyDescent="0.25">
      <c r="A301" s="240">
        <v>41671</v>
      </c>
      <c r="B301" s="240"/>
      <c r="C301" s="212" t="s">
        <v>1785</v>
      </c>
      <c r="D301" s="215" t="s">
        <v>106</v>
      </c>
      <c r="E301" s="223" t="s">
        <v>1786</v>
      </c>
      <c r="F301" s="263" t="s">
        <v>1787</v>
      </c>
      <c r="G301" s="406"/>
      <c r="H301" s="406"/>
      <c r="I301" s="406"/>
      <c r="J301" s="180" t="s">
        <v>1788</v>
      </c>
      <c r="K301" s="25" t="s">
        <v>1789</v>
      </c>
      <c r="L301" s="163" t="s">
        <v>1790</v>
      </c>
      <c r="M301" s="25"/>
      <c r="N301" s="25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3"/>
      <c r="AA301" s="223"/>
      <c r="AB301" s="223"/>
      <c r="AC301" s="223"/>
      <c r="AD301" s="223"/>
      <c r="AE301" s="223"/>
      <c r="AF301" s="223"/>
      <c r="AG301" s="223"/>
      <c r="AH301" s="223"/>
      <c r="AI301" s="223"/>
      <c r="AJ301" s="223"/>
      <c r="AK301" s="223"/>
      <c r="AL301" s="223"/>
      <c r="AM301" s="223"/>
      <c r="AN301" s="256" t="s">
        <v>1791</v>
      </c>
      <c r="AO301" s="256"/>
      <c r="AP301" s="25"/>
      <c r="AQ301" s="256"/>
      <c r="AR301" s="25"/>
      <c r="AS301" s="256"/>
      <c r="AT301" s="25"/>
      <c r="AU301" s="256" t="s">
        <v>1792</v>
      </c>
      <c r="AV301" s="256"/>
      <c r="AW301" s="256"/>
      <c r="AX301" s="256"/>
      <c r="AY301" s="256"/>
      <c r="AZ301" s="256"/>
      <c r="BA301" s="256"/>
      <c r="BB301" s="256"/>
      <c r="BC301" s="256"/>
      <c r="BD301" s="256"/>
      <c r="BE301" s="256" t="s">
        <v>1793</v>
      </c>
      <c r="BF301" s="256" t="s">
        <v>1793</v>
      </c>
      <c r="BG301" s="256" t="s">
        <v>1785</v>
      </c>
      <c r="BH301" s="256"/>
      <c r="BI301" s="256" t="s">
        <v>1794</v>
      </c>
      <c r="BJ301" s="256">
        <v>49359</v>
      </c>
      <c r="BK301" s="119">
        <v>40.47</v>
      </c>
      <c r="BL301" s="244" t="s">
        <v>1795</v>
      </c>
      <c r="BM301" s="244" t="s">
        <v>1796</v>
      </c>
      <c r="BN301" s="244"/>
      <c r="BO301" s="244"/>
      <c r="BP301" s="244"/>
      <c r="BQ301" s="244"/>
      <c r="BR301" s="244"/>
      <c r="BS301" s="244"/>
      <c r="BT301" s="521" t="s">
        <v>876</v>
      </c>
      <c r="BU301" s="525"/>
      <c r="BV301" s="525"/>
      <c r="BW301" s="525"/>
      <c r="BX301" s="525"/>
      <c r="BY301" s="94">
        <v>11.87</v>
      </c>
      <c r="BZ301" s="94">
        <v>9</v>
      </c>
      <c r="CA301" s="94">
        <v>9</v>
      </c>
      <c r="CB301" s="92">
        <f t="shared" si="70"/>
        <v>0.55640624999999999</v>
      </c>
      <c r="CC301" s="94">
        <v>1.9</v>
      </c>
      <c r="CD301" s="302"/>
      <c r="CE301" s="302"/>
      <c r="CF301" s="212" t="s">
        <v>135</v>
      </c>
      <c r="CG301" s="212">
        <v>6</v>
      </c>
      <c r="CH301" s="212">
        <v>17</v>
      </c>
      <c r="CI301" s="212">
        <v>5</v>
      </c>
      <c r="CJ301" s="27">
        <f t="shared" si="71"/>
        <v>510</v>
      </c>
      <c r="CK301" s="27">
        <f t="shared" si="72"/>
        <v>211.5</v>
      </c>
      <c r="CL301" s="27" t="s">
        <v>140</v>
      </c>
      <c r="CM301" s="27" t="s">
        <v>137</v>
      </c>
      <c r="CN301" s="238"/>
      <c r="CO301" s="238"/>
      <c r="CP301" s="261"/>
      <c r="CQ301" s="261"/>
      <c r="CR301" s="261"/>
      <c r="CS301" s="261"/>
      <c r="CT301" s="261"/>
      <c r="CU301" s="261"/>
    </row>
    <row r="302" spans="1:99" s="262" customFormat="1" x14ac:dyDescent="0.25">
      <c r="A302" s="240">
        <v>41671</v>
      </c>
      <c r="B302" s="240"/>
      <c r="C302" s="212" t="s">
        <v>1797</v>
      </c>
      <c r="D302" s="215" t="s">
        <v>106</v>
      </c>
      <c r="E302" s="223" t="s">
        <v>1786</v>
      </c>
      <c r="F302" s="263" t="s">
        <v>1798</v>
      </c>
      <c r="G302" s="406"/>
      <c r="H302" s="406"/>
      <c r="I302" s="406"/>
      <c r="J302" s="180" t="s">
        <v>1788</v>
      </c>
      <c r="K302" s="25" t="s">
        <v>1799</v>
      </c>
      <c r="L302" s="163"/>
      <c r="M302" s="25"/>
      <c r="N302" s="25"/>
      <c r="O302" s="223"/>
      <c r="P302" s="223"/>
      <c r="Q302" s="223"/>
      <c r="R302" s="223"/>
      <c r="S302" s="223"/>
      <c r="T302" s="223"/>
      <c r="U302" s="223"/>
      <c r="V302" s="223"/>
      <c r="W302" s="223"/>
      <c r="X302" s="223"/>
      <c r="Y302" s="223"/>
      <c r="Z302" s="223"/>
      <c r="AA302" s="223"/>
      <c r="AB302" s="223"/>
      <c r="AC302" s="223"/>
      <c r="AD302" s="223"/>
      <c r="AE302" s="223"/>
      <c r="AF302" s="223"/>
      <c r="AG302" s="223"/>
      <c r="AH302" s="223"/>
      <c r="AI302" s="223"/>
      <c r="AJ302" s="223"/>
      <c r="AK302" s="223"/>
      <c r="AL302" s="223"/>
      <c r="AM302" s="223"/>
      <c r="AN302" s="256"/>
      <c r="AO302" s="256"/>
      <c r="AP302" s="25"/>
      <c r="AQ302" s="256"/>
      <c r="AR302" s="25"/>
      <c r="AS302" s="256"/>
      <c r="AT302" s="25"/>
      <c r="AU302" s="256"/>
      <c r="AV302" s="256"/>
      <c r="AW302" s="256"/>
      <c r="AX302" s="256"/>
      <c r="AY302" s="256"/>
      <c r="AZ302" s="256"/>
      <c r="BA302" s="256"/>
      <c r="BB302" s="256"/>
      <c r="BC302" s="256"/>
      <c r="BD302" s="256"/>
      <c r="BE302" s="256" t="s">
        <v>1800</v>
      </c>
      <c r="BF302" s="256" t="s">
        <v>1800</v>
      </c>
      <c r="BG302" s="256" t="s">
        <v>1797</v>
      </c>
      <c r="BH302" s="256"/>
      <c r="BI302" s="256" t="s">
        <v>1801</v>
      </c>
      <c r="BJ302" s="256">
        <v>24030</v>
      </c>
      <c r="BK302" s="119">
        <v>17.07</v>
      </c>
      <c r="BL302" s="244" t="s">
        <v>1802</v>
      </c>
      <c r="BM302" s="244" t="s">
        <v>1803</v>
      </c>
      <c r="BN302" s="244"/>
      <c r="BO302" s="244"/>
      <c r="BP302" s="244"/>
      <c r="BQ302" s="244"/>
      <c r="BR302" s="244"/>
      <c r="BS302" s="244"/>
      <c r="BT302" s="521" t="s">
        <v>876</v>
      </c>
      <c r="BU302" s="525"/>
      <c r="BV302" s="525"/>
      <c r="BW302" s="525"/>
      <c r="BX302" s="525"/>
      <c r="BY302" s="94">
        <v>14.87</v>
      </c>
      <c r="BZ302" s="94">
        <v>10</v>
      </c>
      <c r="CA302" s="94">
        <v>10.5</v>
      </c>
      <c r="CB302" s="92">
        <f t="shared" si="70"/>
        <v>0.90355902777777775</v>
      </c>
      <c r="CC302" s="94">
        <f>0.25*6*0.4</f>
        <v>0.60000000000000009</v>
      </c>
      <c r="CD302" s="302"/>
      <c r="CE302" s="302"/>
      <c r="CF302" s="212" t="s">
        <v>135</v>
      </c>
      <c r="CG302" s="212">
        <v>6</v>
      </c>
      <c r="CH302" s="212">
        <v>12</v>
      </c>
      <c r="CI302" s="212">
        <v>4</v>
      </c>
      <c r="CJ302" s="27">
        <f t="shared" si="71"/>
        <v>288</v>
      </c>
      <c r="CK302" s="27">
        <f t="shared" si="72"/>
        <v>78.800000000000011</v>
      </c>
      <c r="CL302" s="27" t="s">
        <v>140</v>
      </c>
      <c r="CM302" s="27" t="s">
        <v>137</v>
      </c>
      <c r="CN302" s="238"/>
      <c r="CO302" s="238"/>
      <c r="CP302" s="261"/>
      <c r="CQ302" s="261"/>
      <c r="CR302" s="261"/>
      <c r="CS302" s="261"/>
      <c r="CT302" s="261"/>
      <c r="CU302" s="261"/>
    </row>
    <row r="303" spans="1:99" s="262" customFormat="1" x14ac:dyDescent="0.25">
      <c r="A303" s="240">
        <v>41671</v>
      </c>
      <c r="B303" s="240"/>
      <c r="C303" s="212" t="s">
        <v>1804</v>
      </c>
      <c r="D303" s="215" t="s">
        <v>106</v>
      </c>
      <c r="E303" s="223" t="s">
        <v>1786</v>
      </c>
      <c r="F303" s="263" t="s">
        <v>1805</v>
      </c>
      <c r="G303" s="406"/>
      <c r="H303" s="406"/>
      <c r="I303" s="406"/>
      <c r="J303" s="180" t="s">
        <v>294</v>
      </c>
      <c r="K303" s="25" t="s">
        <v>1806</v>
      </c>
      <c r="L303" s="163"/>
      <c r="M303" s="25"/>
      <c r="N303" s="25"/>
      <c r="O303" s="223"/>
      <c r="P303" s="223"/>
      <c r="Q303" s="223"/>
      <c r="R303" s="223"/>
      <c r="S303" s="223"/>
      <c r="T303" s="223"/>
      <c r="U303" s="223"/>
      <c r="V303" s="223"/>
      <c r="W303" s="223"/>
      <c r="X303" s="223"/>
      <c r="Y303" s="223"/>
      <c r="Z303" s="223"/>
      <c r="AA303" s="223"/>
      <c r="AB303" s="223"/>
      <c r="AC303" s="223"/>
      <c r="AD303" s="223"/>
      <c r="AE303" s="223"/>
      <c r="AF303" s="223"/>
      <c r="AG303" s="223"/>
      <c r="AH303" s="223"/>
      <c r="AI303" s="223"/>
      <c r="AJ303" s="223"/>
      <c r="AK303" s="223"/>
      <c r="AL303" s="223"/>
      <c r="AM303" s="223"/>
      <c r="AN303" s="256"/>
      <c r="AO303" s="256"/>
      <c r="AP303" s="25"/>
      <c r="AQ303" s="256"/>
      <c r="AR303" s="25"/>
      <c r="AS303" s="256"/>
      <c r="AT303" s="25"/>
      <c r="AU303" s="256" t="s">
        <v>1807</v>
      </c>
      <c r="AV303" s="256"/>
      <c r="AW303" s="256"/>
      <c r="AX303" s="256"/>
      <c r="AY303" s="256"/>
      <c r="AZ303" s="256"/>
      <c r="BA303" s="256"/>
      <c r="BB303" s="256"/>
      <c r="BC303" s="256"/>
      <c r="BD303" s="256"/>
      <c r="BE303" s="256" t="s">
        <v>1808</v>
      </c>
      <c r="BF303" s="256" t="s">
        <v>1808</v>
      </c>
      <c r="BG303" s="256" t="s">
        <v>1804</v>
      </c>
      <c r="BH303" s="256"/>
      <c r="BI303" s="256" t="s">
        <v>1809</v>
      </c>
      <c r="BJ303" s="256">
        <v>24148</v>
      </c>
      <c r="BK303" s="119">
        <v>19.91</v>
      </c>
      <c r="BL303" s="244" t="s">
        <v>1810</v>
      </c>
      <c r="BM303" s="244" t="s">
        <v>1811</v>
      </c>
      <c r="BN303" s="244"/>
      <c r="BO303" s="244"/>
      <c r="BP303" s="244"/>
      <c r="BQ303" s="244"/>
      <c r="BR303" s="244"/>
      <c r="BS303" s="244"/>
      <c r="BT303" s="521" t="s">
        <v>876</v>
      </c>
      <c r="BU303" s="525"/>
      <c r="BV303" s="525"/>
      <c r="BW303" s="525"/>
      <c r="BX303" s="525"/>
      <c r="BY303" s="94">
        <v>9.75</v>
      </c>
      <c r="BZ303" s="94">
        <v>8.18</v>
      </c>
      <c r="CA303" s="94">
        <v>8.5</v>
      </c>
      <c r="CB303" s="92">
        <f t="shared" si="70"/>
        <v>0.39231336805555556</v>
      </c>
      <c r="CC303" s="94">
        <f>0.11*6+0.4</f>
        <v>1.06</v>
      </c>
      <c r="CD303" s="302"/>
      <c r="CE303" s="302"/>
      <c r="CF303" s="212" t="s">
        <v>135</v>
      </c>
      <c r="CG303" s="212">
        <v>6</v>
      </c>
      <c r="CH303" s="212">
        <v>20</v>
      </c>
      <c r="CI303" s="212">
        <v>5</v>
      </c>
      <c r="CJ303" s="27">
        <f t="shared" si="71"/>
        <v>600</v>
      </c>
      <c r="CK303" s="27">
        <f t="shared" si="72"/>
        <v>156</v>
      </c>
      <c r="CL303" s="27" t="s">
        <v>140</v>
      </c>
      <c r="CM303" s="27" t="s">
        <v>137</v>
      </c>
      <c r="CN303" s="238"/>
      <c r="CO303" s="238"/>
      <c r="CP303" s="261"/>
      <c r="CQ303" s="261"/>
      <c r="CR303" s="261"/>
      <c r="CS303" s="261"/>
      <c r="CT303" s="261"/>
      <c r="CU303" s="261"/>
    </row>
    <row r="304" spans="1:99" s="262" customFormat="1" x14ac:dyDescent="0.25">
      <c r="A304" s="240">
        <v>41671</v>
      </c>
      <c r="B304" s="240"/>
      <c r="C304" s="212" t="s">
        <v>1812</v>
      </c>
      <c r="D304" s="215" t="s">
        <v>106</v>
      </c>
      <c r="E304" s="223" t="s">
        <v>1786</v>
      </c>
      <c r="F304" s="263" t="s">
        <v>1813</v>
      </c>
      <c r="G304" s="406"/>
      <c r="H304" s="406"/>
      <c r="I304" s="406"/>
      <c r="J304" s="180" t="s">
        <v>334</v>
      </c>
      <c r="K304" s="25" t="s">
        <v>1814</v>
      </c>
      <c r="L304" s="163"/>
      <c r="M304" s="25"/>
      <c r="N304" s="25"/>
      <c r="O304" s="223"/>
      <c r="P304" s="223"/>
      <c r="Q304" s="223"/>
      <c r="R304" s="223"/>
      <c r="S304" s="223"/>
      <c r="T304" s="223"/>
      <c r="U304" s="223"/>
      <c r="V304" s="223"/>
      <c r="W304" s="223"/>
      <c r="X304" s="223"/>
      <c r="Y304" s="223"/>
      <c r="Z304" s="223"/>
      <c r="AA304" s="223"/>
      <c r="AB304" s="223"/>
      <c r="AC304" s="223"/>
      <c r="AD304" s="223"/>
      <c r="AE304" s="223"/>
      <c r="AF304" s="223"/>
      <c r="AG304" s="223"/>
      <c r="AH304" s="223"/>
      <c r="AI304" s="223"/>
      <c r="AJ304" s="223"/>
      <c r="AK304" s="223"/>
      <c r="AL304" s="223"/>
      <c r="AM304" s="223"/>
      <c r="AN304" s="256" t="s">
        <v>1815</v>
      </c>
      <c r="AO304" s="256"/>
      <c r="AP304" s="25"/>
      <c r="AQ304" s="256"/>
      <c r="AR304" s="25"/>
      <c r="AS304" s="256"/>
      <c r="AT304" s="25"/>
      <c r="AU304" s="256" t="s">
        <v>1816</v>
      </c>
      <c r="AV304" s="256"/>
      <c r="AW304" s="256"/>
      <c r="AX304" s="256"/>
      <c r="AY304" s="256"/>
      <c r="AZ304" s="256"/>
      <c r="BA304" s="256"/>
      <c r="BB304" s="256"/>
      <c r="BC304" s="256"/>
      <c r="BD304" s="256"/>
      <c r="BE304" s="256" t="s">
        <v>1817</v>
      </c>
      <c r="BF304" s="256"/>
      <c r="BG304" s="256"/>
      <c r="BH304" s="256"/>
      <c r="BI304" s="256" t="s">
        <v>1818</v>
      </c>
      <c r="BJ304" s="256"/>
      <c r="BK304" s="119">
        <v>23.5</v>
      </c>
      <c r="BL304" s="244" t="s">
        <v>1819</v>
      </c>
      <c r="BM304" s="244" t="s">
        <v>1820</v>
      </c>
      <c r="BN304" s="244"/>
      <c r="BO304" s="244"/>
      <c r="BP304" s="244"/>
      <c r="BQ304" s="244"/>
      <c r="BR304" s="244"/>
      <c r="BS304" s="244"/>
      <c r="BT304" s="521" t="s">
        <v>876</v>
      </c>
      <c r="BU304" s="525"/>
      <c r="BV304" s="525"/>
      <c r="BW304" s="525"/>
      <c r="BX304" s="525"/>
      <c r="BY304" s="94">
        <v>12</v>
      </c>
      <c r="BZ304" s="94">
        <v>10.37</v>
      </c>
      <c r="CA304" s="94">
        <v>10.62</v>
      </c>
      <c r="CB304" s="92">
        <f t="shared" si="70"/>
        <v>0.76478749999999995</v>
      </c>
      <c r="CC304" s="221">
        <v>1.75</v>
      </c>
      <c r="CD304" s="303"/>
      <c r="CE304" s="303"/>
      <c r="CF304" s="213" t="s">
        <v>135</v>
      </c>
      <c r="CG304" s="213">
        <v>6</v>
      </c>
      <c r="CH304" s="213">
        <v>12</v>
      </c>
      <c r="CI304" s="213">
        <v>4</v>
      </c>
      <c r="CJ304" s="27">
        <f t="shared" si="71"/>
        <v>288</v>
      </c>
      <c r="CK304" s="27">
        <f t="shared" si="72"/>
        <v>134</v>
      </c>
      <c r="CL304" s="213" t="s">
        <v>257</v>
      </c>
      <c r="CM304" s="27" t="s">
        <v>137</v>
      </c>
      <c r="CN304" s="238"/>
      <c r="CO304" s="238"/>
      <c r="CP304" s="261"/>
      <c r="CQ304" s="261"/>
      <c r="CR304" s="261"/>
      <c r="CS304" s="261"/>
      <c r="CT304" s="261"/>
      <c r="CU304" s="261"/>
    </row>
    <row r="305" spans="1:99" s="262" customFormat="1" ht="30" x14ac:dyDescent="0.25">
      <c r="A305" s="240">
        <v>41640</v>
      </c>
      <c r="B305" s="240"/>
      <c r="C305" s="213" t="s">
        <v>1821</v>
      </c>
      <c r="D305" s="215" t="s">
        <v>54</v>
      </c>
      <c r="E305" s="223" t="s">
        <v>73</v>
      </c>
      <c r="F305" s="263" t="s">
        <v>1822</v>
      </c>
      <c r="G305" s="406"/>
      <c r="H305" s="406"/>
      <c r="I305" s="406"/>
      <c r="J305" s="180" t="s">
        <v>1823</v>
      </c>
      <c r="K305" s="25" t="s">
        <v>1824</v>
      </c>
      <c r="L305" s="25" t="s">
        <v>1825</v>
      </c>
      <c r="M305" s="25">
        <v>28040481</v>
      </c>
      <c r="N305" s="25" t="s">
        <v>1826</v>
      </c>
      <c r="O305" s="26" t="s">
        <v>1827</v>
      </c>
      <c r="P305" s="237"/>
      <c r="Q305" s="237"/>
      <c r="R305" s="237"/>
      <c r="S305" s="237"/>
      <c r="T305" s="223"/>
      <c r="U305" s="223"/>
      <c r="V305" s="223"/>
      <c r="W305" s="223"/>
      <c r="X305" s="223"/>
      <c r="Y305" s="223"/>
      <c r="Z305" s="223"/>
      <c r="AA305" s="223"/>
      <c r="AB305" s="223"/>
      <c r="AC305" s="223"/>
      <c r="AD305" s="223"/>
      <c r="AE305" s="223"/>
      <c r="AF305" s="223"/>
      <c r="AG305" s="223"/>
      <c r="AH305" s="223"/>
      <c r="AI305" s="223"/>
      <c r="AJ305" s="223"/>
      <c r="AK305" s="223"/>
      <c r="AL305" s="223"/>
      <c r="AM305" s="223"/>
      <c r="AN305" s="243"/>
      <c r="AO305" s="243"/>
      <c r="AP305" s="243"/>
      <c r="AQ305" s="243"/>
      <c r="AR305" s="25" t="s">
        <v>1828</v>
      </c>
      <c r="AS305" s="243"/>
      <c r="AT305" s="25" t="s">
        <v>1829</v>
      </c>
      <c r="AU305" s="243"/>
      <c r="AV305" s="243"/>
      <c r="AW305" s="243"/>
      <c r="AX305" s="243"/>
      <c r="AY305" s="243"/>
      <c r="AZ305" s="243"/>
      <c r="BA305" s="243"/>
      <c r="BB305" s="243"/>
      <c r="BC305" s="243"/>
      <c r="BD305" s="243"/>
      <c r="BE305" s="243"/>
      <c r="BF305" s="263"/>
      <c r="BG305" s="243"/>
      <c r="BH305" s="243"/>
      <c r="BI305" s="243"/>
      <c r="BJ305" s="243"/>
      <c r="BK305" s="119">
        <v>12.68</v>
      </c>
      <c r="BL305" s="244">
        <v>38568737922</v>
      </c>
      <c r="BM305" s="246">
        <v>10038568737929</v>
      </c>
      <c r="BN305" s="246"/>
      <c r="BO305" s="246"/>
      <c r="BP305" s="246"/>
      <c r="BQ305" s="246"/>
      <c r="BR305" s="246"/>
      <c r="BS305" s="246"/>
      <c r="BT305" s="526" t="s">
        <v>1830</v>
      </c>
      <c r="BU305" s="526"/>
      <c r="BV305" s="526"/>
      <c r="BW305" s="526"/>
      <c r="BX305" s="526"/>
      <c r="BY305" s="265">
        <v>15.81</v>
      </c>
      <c r="BZ305" s="265">
        <v>11.93</v>
      </c>
      <c r="CA305" s="265">
        <v>29.5</v>
      </c>
      <c r="CB305" s="92">
        <f>(CA305*BZ305*BY305)/1728</f>
        <v>3.2199608506944446</v>
      </c>
      <c r="CC305" s="266">
        <f>1.2*12+0.4</f>
        <v>14.799999999999999</v>
      </c>
      <c r="CD305" s="266"/>
      <c r="CE305" s="266"/>
      <c r="CF305" s="213" t="s">
        <v>135</v>
      </c>
      <c r="CG305" s="213">
        <v>12</v>
      </c>
      <c r="CH305" s="213">
        <v>10</v>
      </c>
      <c r="CI305" s="213">
        <v>7</v>
      </c>
      <c r="CJ305" s="27">
        <f>CG305*CH305*CI305</f>
        <v>840</v>
      </c>
      <c r="CK305" s="27">
        <f>(CC305*CH305*CI305)+50</f>
        <v>1086</v>
      </c>
      <c r="CL305" s="27" t="s">
        <v>257</v>
      </c>
      <c r="CM305" s="27" t="s">
        <v>137</v>
      </c>
      <c r="CN305" s="238">
        <v>73</v>
      </c>
      <c r="CO305" s="238"/>
      <c r="CP305" s="261"/>
      <c r="CQ305" s="261"/>
      <c r="CR305" s="261"/>
      <c r="CS305" s="261"/>
      <c r="CT305" s="261"/>
      <c r="CU305" s="261"/>
    </row>
    <row r="306" spans="1:99" s="262" customFormat="1" ht="90" x14ac:dyDescent="0.25">
      <c r="A306" s="240">
        <v>41640</v>
      </c>
      <c r="B306" s="240"/>
      <c r="C306" s="176" t="s">
        <v>1831</v>
      </c>
      <c r="D306" s="176" t="s">
        <v>54</v>
      </c>
      <c r="E306" s="267" t="s">
        <v>1832</v>
      </c>
      <c r="F306" s="176" t="s">
        <v>1833</v>
      </c>
      <c r="G306" s="176"/>
      <c r="H306" s="176"/>
      <c r="I306" s="176"/>
      <c r="J306" s="180" t="s">
        <v>1834</v>
      </c>
      <c r="K306" s="25" t="s">
        <v>1835</v>
      </c>
      <c r="L306" s="25" t="s">
        <v>351</v>
      </c>
      <c r="M306" s="25" t="s">
        <v>1836</v>
      </c>
      <c r="N306" s="25" t="s">
        <v>954</v>
      </c>
      <c r="O306" s="26" t="s">
        <v>1837</v>
      </c>
      <c r="P306" s="25" t="s">
        <v>1838</v>
      </c>
      <c r="Q306" s="26" t="s">
        <v>1839</v>
      </c>
      <c r="R306" s="25" t="s">
        <v>722</v>
      </c>
      <c r="S306" s="25" t="s">
        <v>1840</v>
      </c>
      <c r="T306" s="223"/>
      <c r="U306" s="223"/>
      <c r="V306" s="223"/>
      <c r="W306" s="223"/>
      <c r="X306" s="223"/>
      <c r="Y306" s="223"/>
      <c r="Z306" s="223"/>
      <c r="AA306" s="223"/>
      <c r="AB306" s="223"/>
      <c r="AC306" s="223"/>
      <c r="AD306" s="223"/>
      <c r="AE306" s="223"/>
      <c r="AF306" s="223"/>
      <c r="AG306" s="223"/>
      <c r="AH306" s="223"/>
      <c r="AI306" s="223"/>
      <c r="AJ306" s="223"/>
      <c r="AK306" s="223"/>
      <c r="AL306" s="223"/>
      <c r="AM306" s="223"/>
      <c r="AN306" s="224" t="s">
        <v>1841</v>
      </c>
      <c r="AO306" s="224"/>
      <c r="AP306" s="25" t="s">
        <v>1842</v>
      </c>
      <c r="AQ306" s="224"/>
      <c r="AR306" s="25" t="s">
        <v>1843</v>
      </c>
      <c r="AS306" s="224"/>
      <c r="AT306" s="25" t="s">
        <v>1844</v>
      </c>
      <c r="AU306" s="224"/>
      <c r="AV306" s="224"/>
      <c r="AW306" s="25" t="s">
        <v>1845</v>
      </c>
      <c r="AX306" s="224"/>
      <c r="AY306" s="224"/>
      <c r="AZ306" s="224"/>
      <c r="BA306" s="224"/>
      <c r="BB306" s="224"/>
      <c r="BC306" s="224"/>
      <c r="BD306" s="224">
        <v>9978</v>
      </c>
      <c r="BE306" s="180"/>
      <c r="BF306" s="263"/>
      <c r="BG306" s="180"/>
      <c r="BH306" s="180"/>
      <c r="BI306" s="180"/>
      <c r="BJ306" s="25" t="s">
        <v>1846</v>
      </c>
      <c r="BK306" s="119">
        <v>30.47</v>
      </c>
      <c r="BL306" s="244" t="s">
        <v>1847</v>
      </c>
      <c r="BM306" s="246">
        <v>100038568737899</v>
      </c>
      <c r="BN306" s="246"/>
      <c r="BO306" s="246"/>
      <c r="BP306" s="246"/>
      <c r="BQ306" s="246"/>
      <c r="BR306" s="246"/>
      <c r="BS306" s="246"/>
      <c r="BT306" s="527" t="s">
        <v>1848</v>
      </c>
      <c r="BU306" s="527"/>
      <c r="BV306" s="527"/>
      <c r="BW306" s="527"/>
      <c r="BX306" s="527"/>
      <c r="BY306" s="265">
        <v>5.2359999999999998</v>
      </c>
      <c r="BZ306" s="265">
        <v>5.2359999999999998</v>
      </c>
      <c r="CA306" s="265">
        <v>10.590999999999999</v>
      </c>
      <c r="CB306" s="93">
        <f>(CA306*BZ306*BY306)/1728</f>
        <v>0.16803219695370367</v>
      </c>
      <c r="CC306" s="266">
        <f>1.1+0.25</f>
        <v>1.35</v>
      </c>
      <c r="CD306" s="266"/>
      <c r="CE306" s="266"/>
      <c r="CF306" s="213" t="s">
        <v>135</v>
      </c>
      <c r="CG306" s="213">
        <v>1</v>
      </c>
      <c r="CH306" s="213">
        <v>56</v>
      </c>
      <c r="CI306" s="213">
        <v>4</v>
      </c>
      <c r="CJ306" s="27">
        <f>CG306*CH306*CI306</f>
        <v>224</v>
      </c>
      <c r="CK306" s="27">
        <f>(CC306*CJ306)+50</f>
        <v>352.40000000000003</v>
      </c>
      <c r="CL306" s="27" t="s">
        <v>1849</v>
      </c>
      <c r="CM306" s="27" t="s">
        <v>137</v>
      </c>
      <c r="CN306" s="14">
        <v>73</v>
      </c>
      <c r="CO306" s="1"/>
      <c r="CP306" s="261"/>
      <c r="CQ306" s="261"/>
      <c r="CR306" s="261"/>
      <c r="CS306" s="261"/>
      <c r="CT306" s="261"/>
      <c r="CU306" s="261"/>
    </row>
    <row r="307" spans="1:99" s="262" customFormat="1" ht="30" customHeight="1" x14ac:dyDescent="0.25">
      <c r="A307" s="240">
        <v>41609</v>
      </c>
      <c r="B307" s="240"/>
      <c r="C307" s="212" t="s">
        <v>1850</v>
      </c>
      <c r="D307" s="212" t="s">
        <v>54</v>
      </c>
      <c r="E307" s="212" t="s">
        <v>1851</v>
      </c>
      <c r="F307" s="232" t="s">
        <v>1852</v>
      </c>
      <c r="G307" s="232"/>
      <c r="H307" s="232"/>
      <c r="I307" s="232"/>
      <c r="J307" s="232" t="s">
        <v>872</v>
      </c>
      <c r="K307" s="233" t="s">
        <v>1853</v>
      </c>
      <c r="L307" s="223"/>
      <c r="M307" s="223"/>
      <c r="N307" s="223"/>
      <c r="O307" s="223"/>
      <c r="P307" s="223"/>
      <c r="Q307" s="223"/>
      <c r="R307" s="223"/>
      <c r="S307" s="223"/>
      <c r="T307" s="223"/>
      <c r="U307" s="223"/>
      <c r="V307" s="223"/>
      <c r="W307" s="223"/>
      <c r="X307" s="223"/>
      <c r="Y307" s="223"/>
      <c r="Z307" s="223"/>
      <c r="AA307" s="223"/>
      <c r="AB307" s="223"/>
      <c r="AC307" s="223"/>
      <c r="AD307" s="223"/>
      <c r="AE307" s="223"/>
      <c r="AF307" s="223"/>
      <c r="AG307" s="223"/>
      <c r="AH307" s="223"/>
      <c r="AI307" s="223"/>
      <c r="AJ307" s="223"/>
      <c r="AK307" s="223"/>
      <c r="AL307" s="223"/>
      <c r="AM307" s="223"/>
      <c r="AN307" s="223"/>
      <c r="AO307" s="223"/>
      <c r="AP307" s="223"/>
      <c r="AQ307" s="223"/>
      <c r="AR307" s="223"/>
      <c r="AS307" s="223"/>
      <c r="AT307" s="223"/>
      <c r="AU307" s="223"/>
      <c r="AV307" s="223"/>
      <c r="AW307" s="223"/>
      <c r="AX307" s="223"/>
      <c r="AY307" s="223"/>
      <c r="AZ307" s="223"/>
      <c r="BA307" s="223"/>
      <c r="BB307" s="223"/>
      <c r="BC307" s="223"/>
      <c r="BD307" s="223"/>
      <c r="BE307" s="223"/>
      <c r="BF307" s="263"/>
      <c r="BG307" s="223"/>
      <c r="BH307" s="223"/>
      <c r="BI307" s="223"/>
      <c r="BJ307" s="223"/>
      <c r="BK307" s="119">
        <v>47.61</v>
      </c>
      <c r="BL307" s="244" t="s">
        <v>1854</v>
      </c>
      <c r="BM307" s="246">
        <v>10038568739398</v>
      </c>
      <c r="BN307" s="246"/>
      <c r="BO307" s="246"/>
      <c r="BP307" s="246"/>
      <c r="BQ307" s="246"/>
      <c r="BR307" s="246"/>
      <c r="BS307" s="246"/>
      <c r="BT307" s="527" t="s">
        <v>1848</v>
      </c>
      <c r="BU307" s="527"/>
      <c r="BV307" s="527"/>
      <c r="BW307" s="527"/>
      <c r="BX307" s="527"/>
      <c r="BY307" s="213">
        <v>11.75</v>
      </c>
      <c r="BZ307" s="213">
        <v>4.75</v>
      </c>
      <c r="CA307" s="213">
        <v>5</v>
      </c>
      <c r="CB307" s="93">
        <f>(CA307*BZ307*BY307)/1728</f>
        <v>0.16149450231481483</v>
      </c>
      <c r="CC307" s="212">
        <f>0.5+1.5+0.58+0.25</f>
        <v>2.83</v>
      </c>
      <c r="CD307" s="212"/>
      <c r="CE307" s="212"/>
      <c r="CF307" s="213" t="s">
        <v>135</v>
      </c>
      <c r="CG307" s="213">
        <v>1</v>
      </c>
      <c r="CH307" s="213">
        <v>28</v>
      </c>
      <c r="CI307" s="213">
        <v>9</v>
      </c>
      <c r="CJ307" s="27">
        <f>CG307*CH307*CI307</f>
        <v>252</v>
      </c>
      <c r="CK307" s="27">
        <f>(CC307*CJ307)+50</f>
        <v>763.16</v>
      </c>
      <c r="CL307" s="27" t="s">
        <v>257</v>
      </c>
      <c r="CM307" s="27" t="s">
        <v>137</v>
      </c>
      <c r="CN307" s="14"/>
      <c r="CO307" s="14"/>
      <c r="CP307" s="261"/>
      <c r="CQ307" s="261"/>
      <c r="CR307" s="261"/>
      <c r="CS307" s="261"/>
      <c r="CT307" s="261"/>
      <c r="CU307" s="261"/>
    </row>
    <row r="308" spans="1:99" s="262" customFormat="1" x14ac:dyDescent="0.25">
      <c r="A308" s="240">
        <v>41609</v>
      </c>
      <c r="B308" s="240"/>
      <c r="C308" s="232" t="s">
        <v>1855</v>
      </c>
      <c r="D308" s="232" t="s">
        <v>54</v>
      </c>
      <c r="E308" s="232" t="s">
        <v>1856</v>
      </c>
      <c r="F308" s="232" t="s">
        <v>1857</v>
      </c>
      <c r="G308" s="232"/>
      <c r="H308" s="232"/>
      <c r="I308" s="232"/>
      <c r="J308" s="232" t="s">
        <v>872</v>
      </c>
      <c r="K308" s="233" t="s">
        <v>1858</v>
      </c>
      <c r="L308" s="223" t="s">
        <v>849</v>
      </c>
      <c r="M308" s="223" t="s">
        <v>1859</v>
      </c>
      <c r="N308" s="223" t="s">
        <v>722</v>
      </c>
      <c r="O308" s="223">
        <v>85104856</v>
      </c>
      <c r="P308" s="223"/>
      <c r="Q308" s="223"/>
      <c r="R308" s="223"/>
      <c r="S308" s="223"/>
      <c r="T308" s="223"/>
      <c r="U308" s="223"/>
      <c r="V308" s="223"/>
      <c r="W308" s="223"/>
      <c r="X308" s="223"/>
      <c r="Y308" s="223"/>
      <c r="Z308" s="223"/>
      <c r="AA308" s="223"/>
      <c r="AB308" s="223"/>
      <c r="AC308" s="223"/>
      <c r="AD308" s="223"/>
      <c r="AE308" s="223"/>
      <c r="AF308" s="223"/>
      <c r="AG308" s="223"/>
      <c r="AH308" s="223"/>
      <c r="AI308" s="223"/>
      <c r="AJ308" s="223"/>
      <c r="AK308" s="223"/>
      <c r="AL308" s="223"/>
      <c r="AM308" s="223"/>
      <c r="AN308" s="223" t="s">
        <v>1860</v>
      </c>
      <c r="AO308" s="223"/>
      <c r="AP308" s="223">
        <v>86938</v>
      </c>
      <c r="AQ308" s="223"/>
      <c r="AR308" s="223"/>
      <c r="AS308" s="223"/>
      <c r="AT308" s="223" t="s">
        <v>1861</v>
      </c>
      <c r="AU308" s="223" t="s">
        <v>1862</v>
      </c>
      <c r="AV308" s="223"/>
      <c r="AW308" s="223"/>
      <c r="AX308" s="223"/>
      <c r="AY308" s="223"/>
      <c r="AZ308" s="223"/>
      <c r="BA308" s="223"/>
      <c r="BB308" s="223"/>
      <c r="BC308" s="223"/>
      <c r="BD308" s="223">
        <v>3938</v>
      </c>
      <c r="BE308" s="223"/>
      <c r="BF308" s="263"/>
      <c r="BG308" s="223"/>
      <c r="BH308" s="223"/>
      <c r="BI308" s="223"/>
      <c r="BJ308" s="223">
        <v>33938</v>
      </c>
      <c r="BK308" s="119">
        <v>53.05</v>
      </c>
      <c r="BL308" s="244" t="s">
        <v>1863</v>
      </c>
      <c r="BM308" s="246" t="s">
        <v>1864</v>
      </c>
      <c r="BN308" s="246"/>
      <c r="BO308" s="246"/>
      <c r="BP308" s="246"/>
      <c r="BQ308" s="246"/>
      <c r="BR308" s="246"/>
      <c r="BS308" s="246"/>
      <c r="BT308" s="213">
        <v>5.165</v>
      </c>
      <c r="BU308" s="213">
        <v>5.165</v>
      </c>
      <c r="BV308" s="213">
        <v>6.2050000000000001</v>
      </c>
      <c r="BW308" s="93">
        <f>(BV308*BU308*BT308)/1728</f>
        <v>9.5794086299189812E-2</v>
      </c>
      <c r="BX308" s="94">
        <v>2.3199999999999998</v>
      </c>
      <c r="BY308" s="212">
        <v>15.868</v>
      </c>
      <c r="BZ308" s="212">
        <v>11.993</v>
      </c>
      <c r="CA308" s="212">
        <v>8.2989999999999995</v>
      </c>
      <c r="CB308" s="93">
        <f>(CA308*BZ308*BY308)/1728</f>
        <v>0.91397023395601851</v>
      </c>
      <c r="CC308" s="266">
        <v>14.188000000000001</v>
      </c>
      <c r="CD308" s="266"/>
      <c r="CE308" s="266"/>
      <c r="CF308" s="213" t="s">
        <v>135</v>
      </c>
      <c r="CG308" s="212">
        <v>6</v>
      </c>
      <c r="CH308" s="212">
        <v>10</v>
      </c>
      <c r="CI308" s="223">
        <v>5</v>
      </c>
      <c r="CJ308" s="27">
        <f>CG308*CH308*CI308</f>
        <v>300</v>
      </c>
      <c r="CK308" s="27">
        <f>(BX308*CJ308)+50</f>
        <v>746</v>
      </c>
      <c r="CL308" s="27" t="s">
        <v>257</v>
      </c>
      <c r="CM308" s="27" t="s">
        <v>137</v>
      </c>
      <c r="CN308" s="14"/>
      <c r="CO308" s="14"/>
      <c r="CP308" s="261"/>
      <c r="CQ308" s="261"/>
      <c r="CR308" s="261"/>
      <c r="CS308" s="261"/>
      <c r="CT308" s="261"/>
      <c r="CU308" s="261"/>
    </row>
    <row r="309" spans="1:99" s="262" customFormat="1" x14ac:dyDescent="0.25">
      <c r="A309" s="240">
        <v>41609</v>
      </c>
      <c r="B309" s="240"/>
      <c r="C309" s="232" t="s">
        <v>1865</v>
      </c>
      <c r="D309" s="232" t="s">
        <v>106</v>
      </c>
      <c r="E309" s="215" t="s">
        <v>1866</v>
      </c>
      <c r="F309" s="232" t="s">
        <v>1867</v>
      </c>
      <c r="G309" s="232"/>
      <c r="H309" s="232"/>
      <c r="I309" s="232"/>
      <c r="J309" s="215" t="s">
        <v>334</v>
      </c>
      <c r="K309" s="215" t="s">
        <v>1868</v>
      </c>
      <c r="L309" s="223" t="s">
        <v>1869</v>
      </c>
      <c r="M309" s="215" t="s">
        <v>1870</v>
      </c>
      <c r="N309" s="223"/>
      <c r="O309" s="223"/>
      <c r="P309" s="223"/>
      <c r="Q309" s="223"/>
      <c r="R309" s="223"/>
      <c r="S309" s="223"/>
      <c r="T309" s="223"/>
      <c r="U309" s="223"/>
      <c r="V309" s="223"/>
      <c r="W309" s="223"/>
      <c r="X309" s="223"/>
      <c r="Y309" s="223"/>
      <c r="Z309" s="223"/>
      <c r="AA309" s="223"/>
      <c r="AB309" s="223"/>
      <c r="AC309" s="223"/>
      <c r="AD309" s="223"/>
      <c r="AE309" s="223"/>
      <c r="AF309" s="223"/>
      <c r="AG309" s="223"/>
      <c r="AH309" s="223"/>
      <c r="AI309" s="223"/>
      <c r="AJ309" s="223"/>
      <c r="AK309" s="223"/>
      <c r="AL309" s="223"/>
      <c r="AM309" s="223"/>
      <c r="AN309" s="223"/>
      <c r="AO309" s="223"/>
      <c r="AP309" s="223"/>
      <c r="AQ309" s="223"/>
      <c r="AR309" s="223"/>
      <c r="AS309" s="223"/>
      <c r="AT309" s="223"/>
      <c r="AU309" s="223"/>
      <c r="AV309" s="223"/>
      <c r="AW309" s="223"/>
      <c r="AX309" s="223"/>
      <c r="AY309" s="223"/>
      <c r="AZ309" s="223"/>
      <c r="BA309" s="223"/>
      <c r="BB309" s="223"/>
      <c r="BC309" s="223"/>
      <c r="BD309" s="223"/>
      <c r="BE309" s="215" t="s">
        <v>1871</v>
      </c>
      <c r="BF309" s="263"/>
      <c r="BG309" s="215" t="s">
        <v>1872</v>
      </c>
      <c r="BH309" s="215"/>
      <c r="BI309" s="215" t="s">
        <v>1873</v>
      </c>
      <c r="BJ309" s="223"/>
      <c r="BK309" s="119">
        <v>6.75</v>
      </c>
      <c r="BL309" s="268" t="s">
        <v>1874</v>
      </c>
      <c r="BM309" s="268" t="s">
        <v>1875</v>
      </c>
      <c r="BN309" s="268"/>
      <c r="BO309" s="268"/>
      <c r="BP309" s="268"/>
      <c r="BQ309" s="268"/>
      <c r="BR309" s="268"/>
      <c r="BS309" s="268"/>
      <c r="BT309" s="241">
        <v>2.411</v>
      </c>
      <c r="BU309" s="241">
        <v>2.411</v>
      </c>
      <c r="BV309" s="241">
        <v>6.5720000000000001</v>
      </c>
      <c r="BW309" s="93">
        <f>(BV309*BU309*BT309)/1728</f>
        <v>2.2107937969907412E-2</v>
      </c>
      <c r="BX309" s="241">
        <v>1.1000000000000001</v>
      </c>
      <c r="BY309" s="241">
        <v>10.25</v>
      </c>
      <c r="BZ309" s="241">
        <v>7.75</v>
      </c>
      <c r="CA309" s="241">
        <v>7.12</v>
      </c>
      <c r="CB309" s="93">
        <f>(CA309*BZ309*BY309)/1728</f>
        <v>0.32731192129629633</v>
      </c>
      <c r="CC309" s="241">
        <v>14.7</v>
      </c>
      <c r="CD309" s="241"/>
      <c r="CE309" s="241"/>
      <c r="CF309" s="241" t="s">
        <v>135</v>
      </c>
      <c r="CG309" s="269">
        <v>12</v>
      </c>
      <c r="CH309" s="269">
        <v>22</v>
      </c>
      <c r="CI309" s="269">
        <v>6</v>
      </c>
      <c r="CJ309" s="269">
        <f>CG309*CH309*CI309</f>
        <v>1584</v>
      </c>
      <c r="CK309" s="225">
        <f>(BX309*CJ309)+50</f>
        <v>1792.4</v>
      </c>
      <c r="CL309" s="269" t="s">
        <v>257</v>
      </c>
      <c r="CM309" s="269" t="s">
        <v>137</v>
      </c>
      <c r="CN309" s="14"/>
      <c r="CO309" s="14"/>
      <c r="CP309" s="261"/>
      <c r="CQ309" s="261"/>
      <c r="CR309" s="261"/>
      <c r="CS309" s="261"/>
      <c r="CT309" s="261"/>
      <c r="CU309" s="261"/>
    </row>
    <row r="310" spans="1:99" s="262" customFormat="1" ht="210" x14ac:dyDescent="0.25">
      <c r="A310" s="240">
        <v>41562</v>
      </c>
      <c r="B310" s="240"/>
      <c r="C310" s="212" t="s">
        <v>1876</v>
      </c>
      <c r="D310" s="232" t="s">
        <v>54</v>
      </c>
      <c r="E310" s="212" t="s">
        <v>72</v>
      </c>
      <c r="F310" s="270" t="s">
        <v>1877</v>
      </c>
      <c r="G310" s="270"/>
      <c r="H310" s="270"/>
      <c r="I310" s="270"/>
      <c r="J310" s="232" t="s">
        <v>157</v>
      </c>
      <c r="K310" s="223">
        <v>87517153</v>
      </c>
      <c r="L310" s="223"/>
      <c r="M310" s="223"/>
      <c r="N310" s="223"/>
      <c r="O310" s="223"/>
      <c r="P310" s="223"/>
      <c r="Q310" s="223"/>
      <c r="R310" s="223"/>
      <c r="S310" s="223"/>
      <c r="T310" s="223"/>
      <c r="U310" s="223"/>
      <c r="V310" s="223"/>
      <c r="W310" s="223"/>
      <c r="X310" s="223"/>
      <c r="Y310" s="223"/>
      <c r="Z310" s="223"/>
      <c r="AA310" s="223"/>
      <c r="AB310" s="223"/>
      <c r="AC310" s="223"/>
      <c r="AD310" s="223"/>
      <c r="AE310" s="223"/>
      <c r="AF310" s="223"/>
      <c r="AG310" s="223"/>
      <c r="AH310" s="223"/>
      <c r="AI310" s="223"/>
      <c r="AJ310" s="223"/>
      <c r="AK310" s="223"/>
      <c r="AL310" s="223"/>
      <c r="AM310" s="223"/>
      <c r="AN310" s="223"/>
      <c r="AO310" s="223"/>
      <c r="AP310" s="223"/>
      <c r="AQ310" s="223"/>
      <c r="AR310" s="223" t="s">
        <v>1878</v>
      </c>
      <c r="AS310" s="223"/>
      <c r="AT310" s="223"/>
      <c r="AU310" s="223"/>
      <c r="AV310" s="223"/>
      <c r="AW310" s="223"/>
      <c r="AX310" s="223"/>
      <c r="AY310" s="223"/>
      <c r="AZ310" s="223"/>
      <c r="BA310" s="223"/>
      <c r="BB310" s="223"/>
      <c r="BC310" s="223"/>
      <c r="BD310" s="223"/>
      <c r="BE310" s="223"/>
      <c r="BF310" s="223"/>
      <c r="BG310" s="223"/>
      <c r="BH310" s="223"/>
      <c r="BI310" s="223"/>
      <c r="BJ310" s="223"/>
      <c r="BK310" s="119">
        <v>94.9</v>
      </c>
      <c r="BL310" s="271">
        <v>10038568737837</v>
      </c>
      <c r="BM310" s="251" t="s">
        <v>1879</v>
      </c>
      <c r="BN310" s="251"/>
      <c r="BO310" s="251"/>
      <c r="BP310" s="251"/>
      <c r="BQ310" s="251"/>
      <c r="BR310" s="251"/>
      <c r="BS310" s="251"/>
      <c r="BT310" s="224"/>
      <c r="BU310" s="224"/>
      <c r="BV310" s="224"/>
      <c r="BW310" s="224"/>
      <c r="BX310" s="224"/>
      <c r="BY310" s="224">
        <v>10.75</v>
      </c>
      <c r="BZ310" s="224">
        <v>7.12</v>
      </c>
      <c r="CA310" s="224">
        <v>6.25</v>
      </c>
      <c r="CB310" s="224"/>
      <c r="CC310" s="224">
        <v>1</v>
      </c>
      <c r="CD310" s="224"/>
      <c r="CE310" s="224"/>
      <c r="CF310" s="224" t="s">
        <v>135</v>
      </c>
      <c r="CG310" s="224"/>
      <c r="CH310" s="224">
        <v>35</v>
      </c>
      <c r="CI310" s="224">
        <v>4</v>
      </c>
      <c r="CJ310" s="224"/>
      <c r="CK310" s="224"/>
      <c r="CL310" s="224" t="s">
        <v>257</v>
      </c>
      <c r="CM310" s="251"/>
      <c r="CN310" s="1"/>
      <c r="CO310" s="14"/>
      <c r="CP310" s="1"/>
      <c r="CQ310" s="1"/>
      <c r="CR310" s="1"/>
      <c r="CS310" s="1"/>
      <c r="CT310" s="1"/>
      <c r="CU310" s="1"/>
    </row>
    <row r="311" spans="1:99" s="106" customFormat="1" x14ac:dyDescent="0.25">
      <c r="A311" s="240">
        <v>41518</v>
      </c>
      <c r="B311" s="240"/>
      <c r="C311" s="224">
        <v>1151</v>
      </c>
      <c r="D311" s="232" t="s">
        <v>54</v>
      </c>
      <c r="E311" s="224" t="s">
        <v>1880</v>
      </c>
      <c r="F311" s="272" t="s">
        <v>1881</v>
      </c>
      <c r="G311" s="272"/>
      <c r="H311" s="272"/>
      <c r="I311" s="272"/>
      <c r="J311" s="223"/>
      <c r="K311" s="223"/>
      <c r="L311" s="223"/>
      <c r="M311" s="223"/>
      <c r="N311" s="223"/>
      <c r="O311" s="223"/>
      <c r="P311" s="223"/>
      <c r="Q311" s="223"/>
      <c r="R311" s="223"/>
      <c r="S311" s="223"/>
      <c r="T311" s="223"/>
      <c r="U311" s="223"/>
      <c r="V311" s="223"/>
      <c r="W311" s="223"/>
      <c r="X311" s="223"/>
      <c r="Y311" s="223"/>
      <c r="Z311" s="223"/>
      <c r="AA311" s="223"/>
      <c r="AB311" s="223"/>
      <c r="AC311" s="223"/>
      <c r="AD311" s="223"/>
      <c r="AE311" s="223"/>
      <c r="AF311" s="223"/>
      <c r="AG311" s="223"/>
      <c r="AH311" s="223"/>
      <c r="AI311" s="223"/>
      <c r="AJ311" s="223"/>
      <c r="AK311" s="223"/>
      <c r="AL311" s="223"/>
      <c r="AM311" s="223"/>
      <c r="AN311" s="223">
        <v>75</v>
      </c>
      <c r="AO311" s="223"/>
      <c r="AP311" s="223"/>
      <c r="AQ311" s="223"/>
      <c r="AR311" s="223"/>
      <c r="AS311" s="223"/>
      <c r="AT311" s="223"/>
      <c r="AU311" s="223"/>
      <c r="AV311" s="223"/>
      <c r="AW311" s="223"/>
      <c r="AX311" s="223"/>
      <c r="AY311" s="223"/>
      <c r="AZ311" s="223"/>
      <c r="BA311" s="223"/>
      <c r="BB311" s="223"/>
      <c r="BC311" s="223"/>
      <c r="BD311" s="223"/>
      <c r="BE311" s="223"/>
      <c r="BF311" s="223"/>
      <c r="BG311" s="223"/>
      <c r="BH311" s="223"/>
      <c r="BI311" s="223"/>
      <c r="BJ311" s="223"/>
      <c r="BK311" s="171">
        <v>316.14</v>
      </c>
      <c r="BL311" s="224"/>
      <c r="BM311" s="224"/>
      <c r="BN311" s="224"/>
      <c r="BO311" s="224"/>
      <c r="BP311" s="224"/>
      <c r="BQ311" s="224"/>
      <c r="BR311" s="224"/>
      <c r="BS311" s="224"/>
      <c r="BT311" s="224"/>
      <c r="BU311" s="224"/>
      <c r="BV311" s="224"/>
      <c r="BW311" s="224"/>
      <c r="BX311" s="224"/>
      <c r="BY311" s="224"/>
      <c r="BZ311" s="224"/>
      <c r="CA311" s="224"/>
      <c r="CB311" s="224"/>
      <c r="CC311" s="224"/>
      <c r="CD311" s="224"/>
      <c r="CE311" s="224"/>
      <c r="CF311" s="224" t="s">
        <v>135</v>
      </c>
      <c r="CG311" s="224"/>
      <c r="CH311" s="224"/>
      <c r="CI311" s="224"/>
      <c r="CJ311" s="224"/>
      <c r="CK311" s="224"/>
      <c r="CL311" s="224"/>
      <c r="CM311" s="251" t="s">
        <v>151</v>
      </c>
      <c r="CN311" s="1"/>
      <c r="CO311" s="14"/>
      <c r="CP311" s="14"/>
      <c r="CQ311" s="14"/>
      <c r="CR311" s="14"/>
      <c r="CS311" s="14"/>
      <c r="CT311" s="14"/>
      <c r="CU311" s="14"/>
    </row>
    <row r="312" spans="1:99" s="106" customFormat="1" x14ac:dyDescent="0.25">
      <c r="A312" s="240">
        <v>41518</v>
      </c>
      <c r="B312" s="240"/>
      <c r="C312" s="176" t="s">
        <v>1882</v>
      </c>
      <c r="D312" s="232" t="s">
        <v>54</v>
      </c>
      <c r="E312" s="176" t="s">
        <v>1883</v>
      </c>
      <c r="F312" s="270" t="s">
        <v>1884</v>
      </c>
      <c r="G312" s="270"/>
      <c r="H312" s="270"/>
      <c r="I312" s="270"/>
      <c r="J312" s="176" t="s">
        <v>351</v>
      </c>
      <c r="K312" s="176" t="s">
        <v>1885</v>
      </c>
      <c r="L312" s="223"/>
      <c r="M312" s="223"/>
      <c r="N312" s="223"/>
      <c r="O312" s="223"/>
      <c r="P312" s="223"/>
      <c r="Q312" s="223"/>
      <c r="R312" s="223"/>
      <c r="S312" s="223"/>
      <c r="T312" s="223"/>
      <c r="U312" s="223"/>
      <c r="V312" s="223"/>
      <c r="W312" s="223"/>
      <c r="X312" s="223"/>
      <c r="Y312" s="223"/>
      <c r="Z312" s="223"/>
      <c r="AA312" s="223"/>
      <c r="AB312" s="223"/>
      <c r="AC312" s="223"/>
      <c r="AD312" s="223"/>
      <c r="AE312" s="223"/>
      <c r="AF312" s="223"/>
      <c r="AG312" s="223"/>
      <c r="AH312" s="223"/>
      <c r="AI312" s="223"/>
      <c r="AJ312" s="223"/>
      <c r="AK312" s="223"/>
      <c r="AL312" s="223"/>
      <c r="AM312" s="223"/>
      <c r="AN312" s="223"/>
      <c r="AO312" s="223"/>
      <c r="AP312" s="223"/>
      <c r="AQ312" s="223"/>
      <c r="AR312" s="223"/>
      <c r="AS312" s="223"/>
      <c r="AT312" s="223"/>
      <c r="AU312" s="223"/>
      <c r="AV312" s="223"/>
      <c r="AW312" s="223"/>
      <c r="AX312" s="223"/>
      <c r="AY312" s="223"/>
      <c r="AZ312" s="223"/>
      <c r="BA312" s="223"/>
      <c r="BB312" s="223"/>
      <c r="BC312" s="223"/>
      <c r="BD312" s="223"/>
      <c r="BE312" s="223"/>
      <c r="BF312" s="223"/>
      <c r="BG312" s="223"/>
      <c r="BH312" s="223"/>
      <c r="BI312" s="223"/>
      <c r="BJ312" s="223"/>
      <c r="BK312" s="119">
        <v>39.85</v>
      </c>
      <c r="BL312" s="224" t="s">
        <v>1886</v>
      </c>
      <c r="BM312" s="224"/>
      <c r="BN312" s="224"/>
      <c r="BO312" s="224"/>
      <c r="BP312" s="224"/>
      <c r="BQ312" s="224"/>
      <c r="BR312" s="224"/>
      <c r="BS312" s="224"/>
      <c r="BT312" s="31">
        <v>7.75</v>
      </c>
      <c r="BU312" s="31">
        <v>2.5</v>
      </c>
      <c r="BV312" s="31">
        <v>12.75</v>
      </c>
      <c r="BW312" s="224">
        <f t="shared" ref="BW312:BW326" si="75">(BV312*BU312*BT312)/1728</f>
        <v>0.14295789930555555</v>
      </c>
      <c r="BX312" s="31">
        <v>8.48</v>
      </c>
      <c r="BY312" s="31">
        <v>3</v>
      </c>
      <c r="BZ312" s="31">
        <v>13.49</v>
      </c>
      <c r="CA312" s="31">
        <v>3</v>
      </c>
      <c r="CB312" s="224">
        <f t="shared" ref="CB312:CB326" si="76">(CA312*BZ312*BX312)/1728</f>
        <v>0.19860277777777779</v>
      </c>
      <c r="CC312" s="31">
        <v>8.24</v>
      </c>
      <c r="CD312" s="31"/>
      <c r="CE312" s="31"/>
      <c r="CF312" s="224" t="s">
        <v>135</v>
      </c>
      <c r="CG312" s="224">
        <v>3</v>
      </c>
      <c r="CH312" s="224">
        <v>14</v>
      </c>
      <c r="CI312" s="224">
        <v>5</v>
      </c>
      <c r="CJ312" s="224">
        <f t="shared" ref="CJ312:CJ326" si="77">(CH312*3)*CI312</f>
        <v>210</v>
      </c>
      <c r="CK312" s="224">
        <f t="shared" ref="CK312:CK326" si="78">(CJ312*CC312)+50</f>
        <v>1780.4</v>
      </c>
      <c r="CL312" s="224" t="s">
        <v>257</v>
      </c>
      <c r="CM312" s="251" t="s">
        <v>137</v>
      </c>
      <c r="CN312" s="1"/>
      <c r="CO312" s="14"/>
      <c r="CP312" s="14"/>
      <c r="CQ312" s="14"/>
      <c r="CR312" s="14"/>
      <c r="CS312" s="14"/>
      <c r="CT312" s="14"/>
      <c r="CU312" s="14"/>
    </row>
    <row r="313" spans="1:99" s="106" customFormat="1" ht="30" x14ac:dyDescent="0.25">
      <c r="A313" s="240">
        <v>41518</v>
      </c>
      <c r="B313" s="240"/>
      <c r="C313" s="176" t="s">
        <v>1887</v>
      </c>
      <c r="D313" s="232" t="s">
        <v>54</v>
      </c>
      <c r="E313" s="176" t="s">
        <v>1883</v>
      </c>
      <c r="F313" s="270" t="s">
        <v>1888</v>
      </c>
      <c r="G313" s="270"/>
      <c r="H313" s="270"/>
      <c r="I313" s="270"/>
      <c r="J313" s="176" t="s">
        <v>1889</v>
      </c>
      <c r="K313" s="176" t="s">
        <v>1890</v>
      </c>
      <c r="L313" s="223"/>
      <c r="M313" s="223"/>
      <c r="N313" s="223"/>
      <c r="O313" s="223"/>
      <c r="P313" s="223"/>
      <c r="Q313" s="223"/>
      <c r="R313" s="223"/>
      <c r="S313" s="223"/>
      <c r="T313" s="223"/>
      <c r="U313" s="223"/>
      <c r="V313" s="223"/>
      <c r="W313" s="223"/>
      <c r="X313" s="223"/>
      <c r="Y313" s="223"/>
      <c r="Z313" s="223"/>
      <c r="AA313" s="223"/>
      <c r="AB313" s="223"/>
      <c r="AC313" s="223"/>
      <c r="AD313" s="223"/>
      <c r="AE313" s="223"/>
      <c r="AF313" s="223"/>
      <c r="AG313" s="223"/>
      <c r="AH313" s="223"/>
      <c r="AI313" s="223"/>
      <c r="AJ313" s="223"/>
      <c r="AK313" s="223"/>
      <c r="AL313" s="223"/>
      <c r="AM313" s="223"/>
      <c r="AN313" s="223"/>
      <c r="AO313" s="223"/>
      <c r="AP313" s="223"/>
      <c r="AQ313" s="223"/>
      <c r="AR313" s="223"/>
      <c r="AS313" s="223"/>
      <c r="AT313" s="223"/>
      <c r="AU313" s="223"/>
      <c r="AV313" s="223"/>
      <c r="AW313" s="223"/>
      <c r="AX313" s="223"/>
      <c r="AY313" s="223"/>
      <c r="AZ313" s="223"/>
      <c r="BA313" s="223"/>
      <c r="BB313" s="223"/>
      <c r="BC313" s="223"/>
      <c r="BD313" s="223"/>
      <c r="BE313" s="223"/>
      <c r="BF313" s="223"/>
      <c r="BG313" s="223"/>
      <c r="BH313" s="223"/>
      <c r="BI313" s="223"/>
      <c r="BJ313" s="223"/>
      <c r="BK313" s="119">
        <v>49.95</v>
      </c>
      <c r="BL313" s="224" t="s">
        <v>1891</v>
      </c>
      <c r="BM313" s="224"/>
      <c r="BN313" s="224"/>
      <c r="BO313" s="224"/>
      <c r="BP313" s="224"/>
      <c r="BQ313" s="224"/>
      <c r="BR313" s="224"/>
      <c r="BS313" s="224"/>
      <c r="BT313" s="31">
        <v>10.75</v>
      </c>
      <c r="BU313" s="31">
        <v>1.75</v>
      </c>
      <c r="BV313" s="31">
        <v>17.62</v>
      </c>
      <c r="BW313" s="224">
        <f t="shared" si="75"/>
        <v>0.1918265335648148</v>
      </c>
      <c r="BX313" s="31">
        <v>6.6</v>
      </c>
      <c r="BY313" s="31">
        <v>3</v>
      </c>
      <c r="BZ313" s="31">
        <v>18.11</v>
      </c>
      <c r="CA313" s="31">
        <v>3</v>
      </c>
      <c r="CB313" s="224">
        <f t="shared" si="76"/>
        <v>0.20751041666666664</v>
      </c>
      <c r="CC313" s="31">
        <v>12.24</v>
      </c>
      <c r="CD313" s="31"/>
      <c r="CE313" s="31"/>
      <c r="CF313" s="224" t="s">
        <v>135</v>
      </c>
      <c r="CG313" s="224">
        <v>3</v>
      </c>
      <c r="CH313" s="224">
        <v>7</v>
      </c>
      <c r="CI313" s="224">
        <v>6</v>
      </c>
      <c r="CJ313" s="224">
        <f t="shared" si="77"/>
        <v>126</v>
      </c>
      <c r="CK313" s="224">
        <f t="shared" si="78"/>
        <v>1592.24</v>
      </c>
      <c r="CL313" s="224" t="s">
        <v>257</v>
      </c>
      <c r="CM313" s="251" t="s">
        <v>137</v>
      </c>
      <c r="CN313" s="1"/>
      <c r="CO313" s="14"/>
      <c r="CP313" s="14"/>
      <c r="CQ313" s="14"/>
      <c r="CR313" s="14"/>
      <c r="CS313" s="14"/>
      <c r="CT313" s="14"/>
      <c r="CU313" s="14"/>
    </row>
    <row r="314" spans="1:99" s="106" customFormat="1" x14ac:dyDescent="0.25">
      <c r="A314" s="240">
        <v>41518</v>
      </c>
      <c r="B314" s="240"/>
      <c r="C314" s="176" t="s">
        <v>1892</v>
      </c>
      <c r="D314" s="232" t="s">
        <v>54</v>
      </c>
      <c r="E314" s="176" t="s">
        <v>1883</v>
      </c>
      <c r="F314" s="270" t="s">
        <v>1893</v>
      </c>
      <c r="G314" s="270"/>
      <c r="H314" s="270"/>
      <c r="I314" s="270"/>
      <c r="J314" s="176" t="s">
        <v>1894</v>
      </c>
      <c r="K314" s="176">
        <v>20435801</v>
      </c>
      <c r="L314" s="223"/>
      <c r="M314" s="223"/>
      <c r="N314" s="223"/>
      <c r="O314" s="223"/>
      <c r="P314" s="223"/>
      <c r="Q314" s="223"/>
      <c r="R314" s="223"/>
      <c r="S314" s="223"/>
      <c r="T314" s="223"/>
      <c r="U314" s="223"/>
      <c r="V314" s="223"/>
      <c r="W314" s="223"/>
      <c r="X314" s="223"/>
      <c r="Y314" s="223"/>
      <c r="Z314" s="223"/>
      <c r="AA314" s="223"/>
      <c r="AB314" s="223"/>
      <c r="AC314" s="223"/>
      <c r="AD314" s="223"/>
      <c r="AE314" s="223"/>
      <c r="AF314" s="223"/>
      <c r="AG314" s="223"/>
      <c r="AH314" s="223"/>
      <c r="AI314" s="223"/>
      <c r="AJ314" s="223"/>
      <c r="AK314" s="223"/>
      <c r="AL314" s="223"/>
      <c r="AM314" s="223"/>
      <c r="AN314" s="223"/>
      <c r="AO314" s="223"/>
      <c r="AP314" s="223"/>
      <c r="AQ314" s="223"/>
      <c r="AR314" s="223"/>
      <c r="AS314" s="223"/>
      <c r="AT314" s="223"/>
      <c r="AU314" s="223"/>
      <c r="AV314" s="223"/>
      <c r="AW314" s="223"/>
      <c r="AX314" s="223"/>
      <c r="AY314" s="223"/>
      <c r="AZ314" s="223"/>
      <c r="BA314" s="223"/>
      <c r="BB314" s="223"/>
      <c r="BC314" s="223"/>
      <c r="BD314" s="223"/>
      <c r="BE314" s="223"/>
      <c r="BF314" s="223"/>
      <c r="BG314" s="223"/>
      <c r="BH314" s="223"/>
      <c r="BI314" s="223"/>
      <c r="BJ314" s="223"/>
      <c r="BK314" s="119">
        <v>24.95</v>
      </c>
      <c r="BL314" s="224" t="s">
        <v>1895</v>
      </c>
      <c r="BM314" s="224"/>
      <c r="BN314" s="224"/>
      <c r="BO314" s="224"/>
      <c r="BP314" s="224"/>
      <c r="BQ314" s="224"/>
      <c r="BR314" s="224"/>
      <c r="BS314" s="224"/>
      <c r="BT314" s="31">
        <v>10.75</v>
      </c>
      <c r="BU314" s="31">
        <v>1.75</v>
      </c>
      <c r="BV314" s="31">
        <v>17.62</v>
      </c>
      <c r="BW314" s="224">
        <f t="shared" si="75"/>
        <v>0.1918265335648148</v>
      </c>
      <c r="BX314" s="31">
        <v>6.6</v>
      </c>
      <c r="BY314" s="31">
        <v>3</v>
      </c>
      <c r="BZ314" s="31">
        <v>18.11</v>
      </c>
      <c r="CA314" s="31">
        <v>3</v>
      </c>
      <c r="CB314" s="224">
        <f t="shared" si="76"/>
        <v>0.20751041666666664</v>
      </c>
      <c r="CC314" s="31">
        <v>12.24</v>
      </c>
      <c r="CD314" s="31"/>
      <c r="CE314" s="31"/>
      <c r="CF314" s="224" t="s">
        <v>135</v>
      </c>
      <c r="CG314" s="224">
        <v>3</v>
      </c>
      <c r="CH314" s="224">
        <v>7</v>
      </c>
      <c r="CI314" s="224">
        <v>6</v>
      </c>
      <c r="CJ314" s="224">
        <f t="shared" si="77"/>
        <v>126</v>
      </c>
      <c r="CK314" s="224">
        <f t="shared" si="78"/>
        <v>1592.24</v>
      </c>
      <c r="CL314" s="224" t="s">
        <v>257</v>
      </c>
      <c r="CM314" s="251" t="s">
        <v>137</v>
      </c>
      <c r="CN314" s="1"/>
      <c r="CO314" s="14"/>
      <c r="CP314" s="14"/>
      <c r="CQ314" s="14"/>
      <c r="CR314" s="14"/>
      <c r="CS314" s="14"/>
      <c r="CT314" s="14"/>
      <c r="CU314" s="14"/>
    </row>
    <row r="315" spans="1:99" s="106" customFormat="1" x14ac:dyDescent="0.25">
      <c r="A315" s="240">
        <v>41518</v>
      </c>
      <c r="B315" s="240"/>
      <c r="C315" s="176" t="s">
        <v>1896</v>
      </c>
      <c r="D315" s="232" t="s">
        <v>54</v>
      </c>
      <c r="E315" s="176" t="s">
        <v>1883</v>
      </c>
      <c r="F315" s="270" t="s">
        <v>1897</v>
      </c>
      <c r="G315" s="270"/>
      <c r="H315" s="270"/>
      <c r="I315" s="270"/>
      <c r="J315" s="176" t="s">
        <v>1894</v>
      </c>
      <c r="K315" s="176">
        <v>3948712</v>
      </c>
      <c r="L315" s="223"/>
      <c r="M315" s="223"/>
      <c r="N315" s="223"/>
      <c r="O315" s="223"/>
      <c r="P315" s="223"/>
      <c r="Q315" s="223"/>
      <c r="R315" s="223"/>
      <c r="S315" s="223"/>
      <c r="T315" s="223"/>
      <c r="U315" s="223"/>
      <c r="V315" s="223"/>
      <c r="W315" s="223"/>
      <c r="X315" s="223"/>
      <c r="Y315" s="223"/>
      <c r="Z315" s="223"/>
      <c r="AA315" s="223"/>
      <c r="AB315" s="223"/>
      <c r="AC315" s="223"/>
      <c r="AD315" s="223"/>
      <c r="AE315" s="223"/>
      <c r="AF315" s="223"/>
      <c r="AG315" s="223"/>
      <c r="AH315" s="223"/>
      <c r="AI315" s="223"/>
      <c r="AJ315" s="223"/>
      <c r="AK315" s="223"/>
      <c r="AL315" s="223"/>
      <c r="AM315" s="223"/>
      <c r="AN315" s="223"/>
      <c r="AO315" s="223"/>
      <c r="AP315" s="223"/>
      <c r="AQ315" s="223"/>
      <c r="AR315" s="223"/>
      <c r="AS315" s="223"/>
      <c r="AT315" s="223"/>
      <c r="AU315" s="223"/>
      <c r="AV315" s="223"/>
      <c r="AW315" s="223"/>
      <c r="AX315" s="223"/>
      <c r="AY315" s="223"/>
      <c r="AZ315" s="223"/>
      <c r="BA315" s="223"/>
      <c r="BB315" s="223"/>
      <c r="BC315" s="223"/>
      <c r="BD315" s="223"/>
      <c r="BE315" s="223"/>
      <c r="BF315" s="223"/>
      <c r="BG315" s="223"/>
      <c r="BH315" s="223"/>
      <c r="BI315" s="223"/>
      <c r="BJ315" s="223"/>
      <c r="BK315" s="119">
        <v>25.35</v>
      </c>
      <c r="BL315" s="224" t="s">
        <v>1898</v>
      </c>
      <c r="BM315" s="223"/>
      <c r="BN315" s="223"/>
      <c r="BO315" s="223"/>
      <c r="BP315" s="223"/>
      <c r="BQ315" s="223"/>
      <c r="BR315" s="223"/>
      <c r="BS315" s="223"/>
      <c r="BT315" s="31">
        <v>10.75</v>
      </c>
      <c r="BU315" s="31">
        <v>1.75</v>
      </c>
      <c r="BV315" s="31">
        <v>17.62</v>
      </c>
      <c r="BW315" s="224">
        <f t="shared" si="75"/>
        <v>0.1918265335648148</v>
      </c>
      <c r="BX315" s="31">
        <v>6.6</v>
      </c>
      <c r="BY315" s="31">
        <v>3</v>
      </c>
      <c r="BZ315" s="31">
        <v>18.11</v>
      </c>
      <c r="CA315" s="31">
        <v>3</v>
      </c>
      <c r="CB315" s="224">
        <f t="shared" si="76"/>
        <v>0.20751041666666664</v>
      </c>
      <c r="CC315" s="31">
        <v>12.24</v>
      </c>
      <c r="CD315" s="31"/>
      <c r="CE315" s="31"/>
      <c r="CF315" s="224" t="s">
        <v>135</v>
      </c>
      <c r="CG315" s="224">
        <v>3</v>
      </c>
      <c r="CH315" s="223">
        <v>7</v>
      </c>
      <c r="CI315" s="223">
        <v>6</v>
      </c>
      <c r="CJ315" s="224">
        <f t="shared" si="77"/>
        <v>126</v>
      </c>
      <c r="CK315" s="224">
        <f t="shared" si="78"/>
        <v>1592.24</v>
      </c>
      <c r="CL315" s="224" t="s">
        <v>257</v>
      </c>
      <c r="CM315" s="251" t="s">
        <v>137</v>
      </c>
      <c r="CN315" s="14"/>
      <c r="CO315" s="14"/>
      <c r="CP315" s="14"/>
      <c r="CQ315" s="14"/>
      <c r="CR315" s="14"/>
      <c r="CS315" s="14"/>
      <c r="CT315" s="14"/>
      <c r="CU315" s="14"/>
    </row>
    <row r="316" spans="1:99" s="106" customFormat="1" x14ac:dyDescent="0.25">
      <c r="A316" s="240">
        <v>41518</v>
      </c>
      <c r="B316" s="240"/>
      <c r="C316" s="176" t="s">
        <v>1899</v>
      </c>
      <c r="D316" s="232" t="s">
        <v>54</v>
      </c>
      <c r="E316" s="176" t="s">
        <v>1883</v>
      </c>
      <c r="F316" s="270" t="s">
        <v>1897</v>
      </c>
      <c r="G316" s="270"/>
      <c r="H316" s="270"/>
      <c r="I316" s="270"/>
      <c r="J316" s="176" t="s">
        <v>1894</v>
      </c>
      <c r="K316" s="176">
        <v>8089705</v>
      </c>
      <c r="L316" s="223"/>
      <c r="M316" s="223"/>
      <c r="N316" s="223"/>
      <c r="O316" s="223"/>
      <c r="P316" s="223"/>
      <c r="Q316" s="223"/>
      <c r="R316" s="223"/>
      <c r="S316" s="223"/>
      <c r="T316" s="223"/>
      <c r="U316" s="223"/>
      <c r="V316" s="223"/>
      <c r="W316" s="223"/>
      <c r="X316" s="223"/>
      <c r="Y316" s="223"/>
      <c r="Z316" s="223"/>
      <c r="AA316" s="223"/>
      <c r="AB316" s="223"/>
      <c r="AC316" s="223"/>
      <c r="AD316" s="223"/>
      <c r="AE316" s="223"/>
      <c r="AF316" s="223"/>
      <c r="AG316" s="223"/>
      <c r="AH316" s="223"/>
      <c r="AI316" s="223"/>
      <c r="AJ316" s="223"/>
      <c r="AK316" s="223"/>
      <c r="AL316" s="223"/>
      <c r="AM316" s="223"/>
      <c r="AN316" s="223"/>
      <c r="AO316" s="223"/>
      <c r="AP316" s="223"/>
      <c r="AQ316" s="223"/>
      <c r="AR316" s="223"/>
      <c r="AS316" s="223"/>
      <c r="AT316" s="223"/>
      <c r="AU316" s="223"/>
      <c r="AV316" s="223"/>
      <c r="AW316" s="223"/>
      <c r="AX316" s="223"/>
      <c r="AY316" s="223"/>
      <c r="AZ316" s="223"/>
      <c r="BA316" s="223"/>
      <c r="BB316" s="223"/>
      <c r="BC316" s="223"/>
      <c r="BD316" s="223"/>
      <c r="BE316" s="223"/>
      <c r="BF316" s="223"/>
      <c r="BG316" s="223"/>
      <c r="BH316" s="223"/>
      <c r="BI316" s="223"/>
      <c r="BJ316" s="223"/>
      <c r="BK316" s="119">
        <v>28.85</v>
      </c>
      <c r="BL316" s="224" t="s">
        <v>1900</v>
      </c>
      <c r="BM316" s="223"/>
      <c r="BN316" s="223"/>
      <c r="BO316" s="223"/>
      <c r="BP316" s="223"/>
      <c r="BQ316" s="223"/>
      <c r="BR316" s="223"/>
      <c r="BS316" s="223"/>
      <c r="BT316" s="31">
        <v>7.75</v>
      </c>
      <c r="BU316" s="31">
        <v>2.5</v>
      </c>
      <c r="BV316" s="31">
        <v>12.75</v>
      </c>
      <c r="BW316" s="224">
        <f t="shared" si="75"/>
        <v>0.14295789930555555</v>
      </c>
      <c r="BX316" s="31">
        <v>8.48</v>
      </c>
      <c r="BY316" s="31">
        <v>3</v>
      </c>
      <c r="BZ316" s="31">
        <v>13.49</v>
      </c>
      <c r="CA316" s="31">
        <v>3</v>
      </c>
      <c r="CB316" s="224">
        <f t="shared" si="76"/>
        <v>0.19860277777777779</v>
      </c>
      <c r="CC316" s="31">
        <v>8.24</v>
      </c>
      <c r="CD316" s="31"/>
      <c r="CE316" s="31"/>
      <c r="CF316" s="224" t="s">
        <v>135</v>
      </c>
      <c r="CG316" s="224">
        <v>3</v>
      </c>
      <c r="CH316" s="223">
        <v>14</v>
      </c>
      <c r="CI316" s="223">
        <v>5</v>
      </c>
      <c r="CJ316" s="224">
        <f t="shared" si="77"/>
        <v>210</v>
      </c>
      <c r="CK316" s="224">
        <f t="shared" si="78"/>
        <v>1780.4</v>
      </c>
      <c r="CL316" s="224" t="s">
        <v>257</v>
      </c>
      <c r="CM316" s="251" t="s">
        <v>137</v>
      </c>
      <c r="CN316" s="14"/>
      <c r="CO316" s="14"/>
      <c r="CP316" s="14"/>
      <c r="CQ316" s="14"/>
      <c r="CR316" s="14"/>
      <c r="CS316" s="14"/>
      <c r="CT316" s="14"/>
      <c r="CU316" s="14"/>
    </row>
    <row r="317" spans="1:99" s="106" customFormat="1" ht="30" x14ac:dyDescent="0.25">
      <c r="A317" s="240">
        <v>41518</v>
      </c>
      <c r="B317" s="240"/>
      <c r="C317" s="176" t="s">
        <v>1901</v>
      </c>
      <c r="D317" s="232" t="s">
        <v>54</v>
      </c>
      <c r="E317" s="176" t="s">
        <v>1883</v>
      </c>
      <c r="F317" s="270" t="s">
        <v>1902</v>
      </c>
      <c r="G317" s="270"/>
      <c r="H317" s="270"/>
      <c r="I317" s="270"/>
      <c r="J317" s="270" t="s">
        <v>1903</v>
      </c>
      <c r="K317" s="270">
        <v>91559</v>
      </c>
      <c r="L317" s="223"/>
      <c r="M317" s="223"/>
      <c r="N317" s="223"/>
      <c r="O317" s="223"/>
      <c r="P317" s="223"/>
      <c r="Q317" s="223"/>
      <c r="R317" s="223"/>
      <c r="S317" s="223"/>
      <c r="T317" s="223"/>
      <c r="U317" s="223"/>
      <c r="V317" s="223"/>
      <c r="W317" s="223"/>
      <c r="X317" s="223"/>
      <c r="Y317" s="223"/>
      <c r="Z317" s="223"/>
      <c r="AA317" s="223"/>
      <c r="AB317" s="223"/>
      <c r="AC317" s="223"/>
      <c r="AD317" s="223"/>
      <c r="AE317" s="223"/>
      <c r="AF317" s="223"/>
      <c r="AG317" s="223"/>
      <c r="AH317" s="223"/>
      <c r="AI317" s="223"/>
      <c r="AJ317" s="223"/>
      <c r="AK317" s="223"/>
      <c r="AL317" s="223"/>
      <c r="AM317" s="223"/>
      <c r="AN317" s="223"/>
      <c r="AO317" s="223"/>
      <c r="AP317" s="223"/>
      <c r="AQ317" s="223"/>
      <c r="AR317" s="223"/>
      <c r="AS317" s="223"/>
      <c r="AT317" s="223"/>
      <c r="AU317" s="223"/>
      <c r="AV317" s="223"/>
      <c r="AW317" s="223"/>
      <c r="AX317" s="223"/>
      <c r="AY317" s="223"/>
      <c r="AZ317" s="223"/>
      <c r="BA317" s="223"/>
      <c r="BB317" s="223"/>
      <c r="BC317" s="223"/>
      <c r="BD317" s="223"/>
      <c r="BE317" s="223"/>
      <c r="BF317" s="223"/>
      <c r="BG317" s="223"/>
      <c r="BH317" s="223"/>
      <c r="BI317" s="223"/>
      <c r="BJ317" s="223"/>
      <c r="BK317" s="119">
        <v>27.75</v>
      </c>
      <c r="BL317" s="224" t="s">
        <v>1904</v>
      </c>
      <c r="BM317" s="224"/>
      <c r="BN317" s="224"/>
      <c r="BO317" s="224"/>
      <c r="BP317" s="224"/>
      <c r="BQ317" s="224"/>
      <c r="BR317" s="224"/>
      <c r="BS317" s="224"/>
      <c r="BT317" s="31">
        <v>11.25</v>
      </c>
      <c r="BU317" s="31">
        <v>2.68</v>
      </c>
      <c r="BV317" s="31">
        <v>11.25</v>
      </c>
      <c r="BW317" s="224">
        <f t="shared" si="75"/>
        <v>0.1962890625</v>
      </c>
      <c r="BX317" s="31">
        <v>9</v>
      </c>
      <c r="BY317" s="31">
        <v>3</v>
      </c>
      <c r="BZ317" s="31">
        <v>11.75</v>
      </c>
      <c r="CA317" s="31">
        <v>3</v>
      </c>
      <c r="CB317" s="224">
        <f t="shared" si="76"/>
        <v>0.18359375</v>
      </c>
      <c r="CC317" s="31">
        <v>11.75</v>
      </c>
      <c r="CD317" s="31"/>
      <c r="CE317" s="31"/>
      <c r="CF317" s="224" t="s">
        <v>135</v>
      </c>
      <c r="CG317" s="224">
        <v>3</v>
      </c>
      <c r="CH317" s="224">
        <v>12</v>
      </c>
      <c r="CI317" s="224">
        <v>5</v>
      </c>
      <c r="CJ317" s="224">
        <f t="shared" si="77"/>
        <v>180</v>
      </c>
      <c r="CK317" s="224">
        <f t="shared" si="78"/>
        <v>2165</v>
      </c>
      <c r="CL317" s="224" t="s">
        <v>257</v>
      </c>
      <c r="CM317" s="251" t="s">
        <v>137</v>
      </c>
      <c r="CN317" s="1"/>
      <c r="CO317" s="14"/>
      <c r="CP317" s="14"/>
      <c r="CQ317" s="14"/>
      <c r="CR317" s="14"/>
      <c r="CS317" s="14"/>
      <c r="CT317" s="14"/>
      <c r="CU317" s="14"/>
    </row>
    <row r="318" spans="1:99" s="106" customFormat="1" x14ac:dyDescent="0.25">
      <c r="A318" s="240">
        <v>41518</v>
      </c>
      <c r="B318" s="240"/>
      <c r="C318" s="176" t="s">
        <v>1905</v>
      </c>
      <c r="D318" s="232" t="s">
        <v>54</v>
      </c>
      <c r="E318" s="176" t="s">
        <v>1883</v>
      </c>
      <c r="F318" s="270" t="s">
        <v>1906</v>
      </c>
      <c r="G318" s="270"/>
      <c r="H318" s="270"/>
      <c r="I318" s="270"/>
      <c r="J318" s="270" t="s">
        <v>1903</v>
      </c>
      <c r="K318" s="270" t="s">
        <v>1907</v>
      </c>
      <c r="L318" s="223"/>
      <c r="M318" s="223"/>
      <c r="N318" s="223"/>
      <c r="O318" s="223"/>
      <c r="P318" s="223"/>
      <c r="Q318" s="223"/>
      <c r="R318" s="223"/>
      <c r="S318" s="223"/>
      <c r="T318" s="223"/>
      <c r="U318" s="223"/>
      <c r="V318" s="223"/>
      <c r="W318" s="223"/>
      <c r="X318" s="223"/>
      <c r="Y318" s="223"/>
      <c r="Z318" s="223"/>
      <c r="AA318" s="223"/>
      <c r="AB318" s="223"/>
      <c r="AC318" s="223"/>
      <c r="AD318" s="223"/>
      <c r="AE318" s="223"/>
      <c r="AF318" s="223"/>
      <c r="AG318" s="223"/>
      <c r="AH318" s="223"/>
      <c r="AI318" s="223"/>
      <c r="AJ318" s="223"/>
      <c r="AK318" s="223"/>
      <c r="AL318" s="223"/>
      <c r="AM318" s="223"/>
      <c r="AN318" s="223"/>
      <c r="AO318" s="223"/>
      <c r="AP318" s="223"/>
      <c r="AQ318" s="223"/>
      <c r="AR318" s="223"/>
      <c r="AS318" s="223"/>
      <c r="AT318" s="223"/>
      <c r="AU318" s="223"/>
      <c r="AV318" s="223"/>
      <c r="AW318" s="223"/>
      <c r="AX318" s="223"/>
      <c r="AY318" s="223"/>
      <c r="AZ318" s="223"/>
      <c r="BA318" s="223"/>
      <c r="BB318" s="223"/>
      <c r="BC318" s="223"/>
      <c r="BD318" s="223"/>
      <c r="BE318" s="223"/>
      <c r="BF318" s="223"/>
      <c r="BG318" s="223"/>
      <c r="BH318" s="223"/>
      <c r="BI318" s="223"/>
      <c r="BJ318" s="223"/>
      <c r="BK318" s="119">
        <v>46.85</v>
      </c>
      <c r="BL318" s="224" t="s">
        <v>1908</v>
      </c>
      <c r="BM318" s="224"/>
      <c r="BN318" s="224"/>
      <c r="BO318" s="224"/>
      <c r="BP318" s="224"/>
      <c r="BQ318" s="224"/>
      <c r="BR318" s="224"/>
      <c r="BS318" s="224"/>
      <c r="BT318" s="31">
        <v>11.25</v>
      </c>
      <c r="BU318" s="31">
        <v>2.68</v>
      </c>
      <c r="BV318" s="31">
        <v>11.25</v>
      </c>
      <c r="BW318" s="224">
        <f t="shared" si="75"/>
        <v>0.1962890625</v>
      </c>
      <c r="BX318" s="31">
        <v>9</v>
      </c>
      <c r="BY318" s="31">
        <v>3</v>
      </c>
      <c r="BZ318" s="31">
        <v>11.75</v>
      </c>
      <c r="CA318" s="31">
        <v>3</v>
      </c>
      <c r="CB318" s="224">
        <f t="shared" si="76"/>
        <v>0.18359375</v>
      </c>
      <c r="CC318" s="31">
        <v>11.75</v>
      </c>
      <c r="CD318" s="31"/>
      <c r="CE318" s="31"/>
      <c r="CF318" s="224" t="s">
        <v>135</v>
      </c>
      <c r="CG318" s="224">
        <v>3</v>
      </c>
      <c r="CH318" s="224">
        <v>12</v>
      </c>
      <c r="CI318" s="224">
        <v>5</v>
      </c>
      <c r="CJ318" s="224">
        <f t="shared" si="77"/>
        <v>180</v>
      </c>
      <c r="CK318" s="224">
        <f t="shared" si="78"/>
        <v>2165</v>
      </c>
      <c r="CL318" s="224" t="s">
        <v>257</v>
      </c>
      <c r="CM318" s="251" t="s">
        <v>137</v>
      </c>
      <c r="CN318" s="1"/>
      <c r="CO318" s="14"/>
      <c r="CP318" s="14"/>
      <c r="CQ318" s="14"/>
      <c r="CR318" s="14"/>
      <c r="CS318" s="14"/>
      <c r="CT318" s="14"/>
      <c r="CU318" s="14"/>
    </row>
    <row r="319" spans="1:99" s="106" customFormat="1" x14ac:dyDescent="0.25">
      <c r="A319" s="240">
        <v>41518</v>
      </c>
      <c r="B319" s="240"/>
      <c r="C319" s="176" t="s">
        <v>1909</v>
      </c>
      <c r="D319" s="232" t="s">
        <v>54</v>
      </c>
      <c r="E319" s="176" t="s">
        <v>1883</v>
      </c>
      <c r="F319" s="270" t="s">
        <v>1910</v>
      </c>
      <c r="G319" s="270"/>
      <c r="H319" s="270"/>
      <c r="I319" s="270"/>
      <c r="J319" s="176" t="s">
        <v>519</v>
      </c>
      <c r="K319" s="176" t="s">
        <v>1911</v>
      </c>
      <c r="L319" s="223"/>
      <c r="M319" s="223"/>
      <c r="N319" s="223"/>
      <c r="O319" s="223"/>
      <c r="P319" s="223"/>
      <c r="Q319" s="223"/>
      <c r="R319" s="223"/>
      <c r="S319" s="223"/>
      <c r="T319" s="223"/>
      <c r="U319" s="223"/>
      <c r="V319" s="223"/>
      <c r="W319" s="223"/>
      <c r="X319" s="223"/>
      <c r="Y319" s="223"/>
      <c r="Z319" s="223"/>
      <c r="AA319" s="223"/>
      <c r="AB319" s="223"/>
      <c r="AC319" s="223"/>
      <c r="AD319" s="223"/>
      <c r="AE319" s="223"/>
      <c r="AF319" s="223"/>
      <c r="AG319" s="223"/>
      <c r="AH319" s="223"/>
      <c r="AI319" s="223"/>
      <c r="AJ319" s="223"/>
      <c r="AK319" s="223"/>
      <c r="AL319" s="223"/>
      <c r="AM319" s="223"/>
      <c r="AN319" s="223"/>
      <c r="AO319" s="223"/>
      <c r="AP319" s="223"/>
      <c r="AQ319" s="223"/>
      <c r="AR319" s="223"/>
      <c r="AS319" s="223"/>
      <c r="AT319" s="223"/>
      <c r="AU319" s="223"/>
      <c r="AV319" s="223"/>
      <c r="AW319" s="223"/>
      <c r="AX319" s="223"/>
      <c r="AY319" s="223"/>
      <c r="AZ319" s="223"/>
      <c r="BA319" s="223"/>
      <c r="BB319" s="223"/>
      <c r="BC319" s="223"/>
      <c r="BD319" s="223"/>
      <c r="BE319" s="223"/>
      <c r="BF319" s="223"/>
      <c r="BG319" s="223"/>
      <c r="BH319" s="223"/>
      <c r="BI319" s="223"/>
      <c r="BJ319" s="223"/>
      <c r="BK319" s="119">
        <v>34.950000000000003</v>
      </c>
      <c r="BL319" s="224" t="s">
        <v>1912</v>
      </c>
      <c r="BM319" s="224"/>
      <c r="BN319" s="224"/>
      <c r="BO319" s="224"/>
      <c r="BP319" s="224"/>
      <c r="BQ319" s="224"/>
      <c r="BR319" s="224"/>
      <c r="BS319" s="224"/>
      <c r="BT319" s="31">
        <v>7.5</v>
      </c>
      <c r="BU319" s="31">
        <v>1.31</v>
      </c>
      <c r="BV319" s="31">
        <v>13</v>
      </c>
      <c r="BW319" s="224">
        <f t="shared" si="75"/>
        <v>7.3914930555555564E-2</v>
      </c>
      <c r="BX319" s="31">
        <v>4.6399999999999997</v>
      </c>
      <c r="BY319" s="31">
        <v>3</v>
      </c>
      <c r="BZ319" s="31">
        <v>14.26</v>
      </c>
      <c r="CA319" s="31">
        <v>3</v>
      </c>
      <c r="CB319" s="224">
        <f t="shared" si="76"/>
        <v>0.11487222222222222</v>
      </c>
      <c r="CC319" s="31">
        <v>9.6300000000000008</v>
      </c>
      <c r="CD319" s="31"/>
      <c r="CE319" s="31"/>
      <c r="CF319" s="224" t="s">
        <v>135</v>
      </c>
      <c r="CG319" s="224">
        <v>3</v>
      </c>
      <c r="CH319" s="224">
        <v>12</v>
      </c>
      <c r="CI319" s="224">
        <v>9</v>
      </c>
      <c r="CJ319" s="224">
        <f t="shared" si="77"/>
        <v>324</v>
      </c>
      <c r="CK319" s="224">
        <f t="shared" si="78"/>
        <v>3170.1200000000003</v>
      </c>
      <c r="CL319" s="224" t="s">
        <v>257</v>
      </c>
      <c r="CM319" s="251" t="s">
        <v>137</v>
      </c>
      <c r="CN319" s="1"/>
      <c r="CO319" s="14"/>
      <c r="CP319" s="14"/>
      <c r="CQ319" s="14"/>
      <c r="CR319" s="14"/>
      <c r="CS319" s="14"/>
      <c r="CT319" s="14"/>
      <c r="CU319" s="14"/>
    </row>
    <row r="320" spans="1:99" s="106" customFormat="1" x14ac:dyDescent="0.25">
      <c r="A320" s="240">
        <v>41518</v>
      </c>
      <c r="B320" s="240"/>
      <c r="C320" s="176" t="s">
        <v>1913</v>
      </c>
      <c r="D320" s="232" t="s">
        <v>54</v>
      </c>
      <c r="E320" s="176" t="s">
        <v>1883</v>
      </c>
      <c r="F320" s="270" t="s">
        <v>1914</v>
      </c>
      <c r="G320" s="270"/>
      <c r="H320" s="270"/>
      <c r="I320" s="270"/>
      <c r="J320" s="176" t="s">
        <v>1915</v>
      </c>
      <c r="K320" s="176" t="s">
        <v>1916</v>
      </c>
      <c r="L320" s="223"/>
      <c r="M320" s="223"/>
      <c r="N320" s="223"/>
      <c r="O320" s="223"/>
      <c r="P320" s="223"/>
      <c r="Q320" s="223"/>
      <c r="R320" s="223"/>
      <c r="S320" s="223"/>
      <c r="T320" s="223"/>
      <c r="U320" s="223"/>
      <c r="V320" s="223"/>
      <c r="W320" s="223"/>
      <c r="X320" s="223"/>
      <c r="Y320" s="223"/>
      <c r="Z320" s="223"/>
      <c r="AA320" s="223"/>
      <c r="AB320" s="223"/>
      <c r="AC320" s="223"/>
      <c r="AD320" s="223"/>
      <c r="AE320" s="223"/>
      <c r="AF320" s="223"/>
      <c r="AG320" s="223"/>
      <c r="AH320" s="223"/>
      <c r="AI320" s="223"/>
      <c r="AJ320" s="223"/>
      <c r="AK320" s="223"/>
      <c r="AL320" s="223"/>
      <c r="AM320" s="223"/>
      <c r="AN320" s="223"/>
      <c r="AO320" s="223"/>
      <c r="AP320" s="223"/>
      <c r="AQ320" s="223"/>
      <c r="AR320" s="223"/>
      <c r="AS320" s="223"/>
      <c r="AT320" s="223"/>
      <c r="AU320" s="223"/>
      <c r="AV320" s="223"/>
      <c r="AW320" s="223"/>
      <c r="AX320" s="223"/>
      <c r="AY320" s="223"/>
      <c r="AZ320" s="223"/>
      <c r="BA320" s="223"/>
      <c r="BB320" s="223"/>
      <c r="BC320" s="223"/>
      <c r="BD320" s="223"/>
      <c r="BE320" s="223"/>
      <c r="BF320" s="223"/>
      <c r="BG320" s="223"/>
      <c r="BH320" s="223"/>
      <c r="BI320" s="223"/>
      <c r="BJ320" s="223"/>
      <c r="BK320" s="119">
        <v>29.95</v>
      </c>
      <c r="BL320" s="224" t="s">
        <v>1917</v>
      </c>
      <c r="BM320" s="224"/>
      <c r="BN320" s="224"/>
      <c r="BO320" s="224"/>
      <c r="BP320" s="224"/>
      <c r="BQ320" s="224"/>
      <c r="BR320" s="224"/>
      <c r="BS320" s="224"/>
      <c r="BT320" s="31">
        <v>10.75</v>
      </c>
      <c r="BU320" s="31">
        <v>1.75</v>
      </c>
      <c r="BV320" s="31">
        <v>17.62</v>
      </c>
      <c r="BW320" s="224">
        <f t="shared" si="75"/>
        <v>0.1918265335648148</v>
      </c>
      <c r="BX320" s="31">
        <v>6.6</v>
      </c>
      <c r="BY320" s="31">
        <v>3</v>
      </c>
      <c r="BZ320" s="31">
        <v>18.11</v>
      </c>
      <c r="CA320" s="31">
        <v>3</v>
      </c>
      <c r="CB320" s="224">
        <f t="shared" si="76"/>
        <v>0.20751041666666664</v>
      </c>
      <c r="CC320" s="31">
        <v>12.24</v>
      </c>
      <c r="CD320" s="31"/>
      <c r="CE320" s="31"/>
      <c r="CF320" s="224" t="s">
        <v>135</v>
      </c>
      <c r="CG320" s="224">
        <v>3</v>
      </c>
      <c r="CH320" s="224">
        <v>7</v>
      </c>
      <c r="CI320" s="224">
        <v>6</v>
      </c>
      <c r="CJ320" s="224">
        <f t="shared" si="77"/>
        <v>126</v>
      </c>
      <c r="CK320" s="224">
        <f t="shared" si="78"/>
        <v>1592.24</v>
      </c>
      <c r="CL320" s="224" t="s">
        <v>257</v>
      </c>
      <c r="CM320" s="251" t="s">
        <v>137</v>
      </c>
      <c r="CN320" s="1"/>
      <c r="CO320" s="14"/>
      <c r="CP320" s="14"/>
      <c r="CQ320" s="14"/>
      <c r="CR320" s="14"/>
      <c r="CS320" s="14"/>
      <c r="CT320" s="14"/>
      <c r="CU320" s="14"/>
    </row>
    <row r="321" spans="1:99" s="106" customFormat="1" x14ac:dyDescent="0.25">
      <c r="A321" s="240">
        <v>41518</v>
      </c>
      <c r="B321" s="240"/>
      <c r="C321" s="176" t="s">
        <v>1918</v>
      </c>
      <c r="D321" s="232" t="s">
        <v>54</v>
      </c>
      <c r="E321" s="176" t="s">
        <v>1883</v>
      </c>
      <c r="F321" s="270" t="s">
        <v>1919</v>
      </c>
      <c r="G321" s="270"/>
      <c r="H321" s="270"/>
      <c r="I321" s="270"/>
      <c r="J321" s="176" t="s">
        <v>519</v>
      </c>
      <c r="K321" s="176" t="s">
        <v>1920</v>
      </c>
      <c r="L321" s="223"/>
      <c r="M321" s="223"/>
      <c r="N321" s="223"/>
      <c r="O321" s="223"/>
      <c r="P321" s="223"/>
      <c r="Q321" s="223"/>
      <c r="R321" s="223"/>
      <c r="S321" s="223"/>
      <c r="T321" s="223"/>
      <c r="U321" s="223"/>
      <c r="V321" s="223"/>
      <c r="W321" s="223"/>
      <c r="X321" s="223"/>
      <c r="Y321" s="223"/>
      <c r="Z321" s="223"/>
      <c r="AA321" s="223"/>
      <c r="AB321" s="223"/>
      <c r="AC321" s="223"/>
      <c r="AD321" s="223"/>
      <c r="AE321" s="223"/>
      <c r="AF321" s="223"/>
      <c r="AG321" s="223"/>
      <c r="AH321" s="223"/>
      <c r="AI321" s="223"/>
      <c r="AJ321" s="223"/>
      <c r="AK321" s="223"/>
      <c r="AL321" s="223"/>
      <c r="AM321" s="223"/>
      <c r="AN321" s="223"/>
      <c r="AO321" s="223"/>
      <c r="AP321" s="223"/>
      <c r="AQ321" s="223"/>
      <c r="AR321" s="223"/>
      <c r="AS321" s="223"/>
      <c r="AT321" s="223"/>
      <c r="AU321" s="223"/>
      <c r="AV321" s="223"/>
      <c r="AW321" s="223"/>
      <c r="AX321" s="223"/>
      <c r="AY321" s="223"/>
      <c r="AZ321" s="223"/>
      <c r="BA321" s="223"/>
      <c r="BB321" s="223"/>
      <c r="BC321" s="223"/>
      <c r="BD321" s="223"/>
      <c r="BE321" s="223"/>
      <c r="BF321" s="223"/>
      <c r="BG321" s="223"/>
      <c r="BH321" s="223"/>
      <c r="BI321" s="223"/>
      <c r="BJ321" s="223"/>
      <c r="BK321" s="119">
        <v>28.58</v>
      </c>
      <c r="BL321" s="224" t="s">
        <v>1921</v>
      </c>
      <c r="BM321" s="224"/>
      <c r="BN321" s="224"/>
      <c r="BO321" s="224"/>
      <c r="BP321" s="224"/>
      <c r="BQ321" s="224"/>
      <c r="BR321" s="224"/>
      <c r="BS321" s="224"/>
      <c r="BT321" s="31">
        <v>14</v>
      </c>
      <c r="BU321" s="31">
        <v>3.06</v>
      </c>
      <c r="BV321" s="31">
        <v>14</v>
      </c>
      <c r="BW321" s="224">
        <f t="shared" si="75"/>
        <v>0.34708333333333335</v>
      </c>
      <c r="BX321" s="31">
        <v>14.73</v>
      </c>
      <c r="BY321" s="31">
        <v>3</v>
      </c>
      <c r="BZ321" s="31">
        <v>14.49</v>
      </c>
      <c r="CA321" s="31">
        <v>3</v>
      </c>
      <c r="CB321" s="224">
        <f t="shared" si="76"/>
        <v>0.37055156249999999</v>
      </c>
      <c r="CC321" s="31">
        <v>9.86</v>
      </c>
      <c r="CD321" s="31"/>
      <c r="CE321" s="31"/>
      <c r="CF321" s="224" t="s">
        <v>135</v>
      </c>
      <c r="CG321" s="224">
        <v>3</v>
      </c>
      <c r="CH321" s="224">
        <v>6</v>
      </c>
      <c r="CI321" s="224">
        <v>4</v>
      </c>
      <c r="CJ321" s="224">
        <f t="shared" si="77"/>
        <v>72</v>
      </c>
      <c r="CK321" s="224">
        <f t="shared" si="78"/>
        <v>759.92</v>
      </c>
      <c r="CL321" s="224" t="s">
        <v>257</v>
      </c>
      <c r="CM321" s="251" t="s">
        <v>137</v>
      </c>
      <c r="CN321" s="1"/>
      <c r="CO321" s="14"/>
      <c r="CP321" s="14"/>
      <c r="CQ321" s="14"/>
      <c r="CR321" s="14"/>
      <c r="CS321" s="14"/>
      <c r="CT321" s="14"/>
      <c r="CU321" s="14"/>
    </row>
    <row r="322" spans="1:99" s="106" customFormat="1" x14ac:dyDescent="0.25">
      <c r="A322" s="240">
        <v>41518</v>
      </c>
      <c r="B322" s="240"/>
      <c r="C322" s="176" t="s">
        <v>1922</v>
      </c>
      <c r="D322" s="232" t="s">
        <v>54</v>
      </c>
      <c r="E322" s="176" t="s">
        <v>1883</v>
      </c>
      <c r="F322" s="270" t="s">
        <v>1923</v>
      </c>
      <c r="G322" s="270"/>
      <c r="H322" s="270"/>
      <c r="I322" s="270"/>
      <c r="J322" s="176" t="s">
        <v>1903</v>
      </c>
      <c r="K322" s="176">
        <v>8031900159</v>
      </c>
      <c r="L322" s="223"/>
      <c r="M322" s="223"/>
      <c r="N322" s="223"/>
      <c r="O322" s="223"/>
      <c r="P322" s="223"/>
      <c r="Q322" s="223"/>
      <c r="R322" s="223"/>
      <c r="S322" s="223"/>
      <c r="T322" s="223"/>
      <c r="U322" s="223"/>
      <c r="V322" s="223"/>
      <c r="W322" s="223"/>
      <c r="X322" s="223"/>
      <c r="Y322" s="223"/>
      <c r="Z322" s="223"/>
      <c r="AA322" s="223"/>
      <c r="AB322" s="223"/>
      <c r="AC322" s="223"/>
      <c r="AD322" s="223"/>
      <c r="AE322" s="223"/>
      <c r="AF322" s="223"/>
      <c r="AG322" s="223"/>
      <c r="AH322" s="223"/>
      <c r="AI322" s="223"/>
      <c r="AJ322" s="223"/>
      <c r="AK322" s="223"/>
      <c r="AL322" s="223"/>
      <c r="AM322" s="223"/>
      <c r="AN322" s="223"/>
      <c r="AO322" s="223"/>
      <c r="AP322" s="223"/>
      <c r="AQ322" s="223"/>
      <c r="AR322" s="223"/>
      <c r="AS322" s="223"/>
      <c r="AT322" s="223"/>
      <c r="AU322" s="223"/>
      <c r="AV322" s="223"/>
      <c r="AW322" s="223"/>
      <c r="AX322" s="223"/>
      <c r="AY322" s="223"/>
      <c r="AZ322" s="223"/>
      <c r="BA322" s="223"/>
      <c r="BB322" s="223"/>
      <c r="BC322" s="223"/>
      <c r="BD322" s="223"/>
      <c r="BE322" s="223"/>
      <c r="BF322" s="223"/>
      <c r="BG322" s="223"/>
      <c r="BH322" s="223"/>
      <c r="BI322" s="223"/>
      <c r="BJ322" s="223"/>
      <c r="BK322" s="119">
        <v>14.95</v>
      </c>
      <c r="BL322" s="224" t="s">
        <v>1924</v>
      </c>
      <c r="BM322" s="224"/>
      <c r="BN322" s="224"/>
      <c r="BO322" s="224"/>
      <c r="BP322" s="224"/>
      <c r="BQ322" s="224"/>
      <c r="BR322" s="224"/>
      <c r="BS322" s="224"/>
      <c r="BT322" s="31">
        <v>9.06</v>
      </c>
      <c r="BU322" s="31">
        <v>1.37</v>
      </c>
      <c r="BV322" s="31">
        <v>9.25</v>
      </c>
      <c r="BW322" s="224">
        <f t="shared" si="75"/>
        <v>6.6442621527777787E-2</v>
      </c>
      <c r="BX322" s="31">
        <v>4.7300000000000004</v>
      </c>
      <c r="BY322" s="31">
        <v>3</v>
      </c>
      <c r="BZ322" s="31">
        <v>10.49</v>
      </c>
      <c r="CA322" s="31">
        <v>3</v>
      </c>
      <c r="CB322" s="224">
        <f t="shared" si="76"/>
        <v>8.6141840277777784E-2</v>
      </c>
      <c r="CC322" s="31">
        <v>9.99</v>
      </c>
      <c r="CD322" s="31"/>
      <c r="CE322" s="31"/>
      <c r="CF322" s="224" t="s">
        <v>135</v>
      </c>
      <c r="CG322" s="224">
        <v>3</v>
      </c>
      <c r="CH322" s="224">
        <v>16</v>
      </c>
      <c r="CI322" s="224">
        <v>9</v>
      </c>
      <c r="CJ322" s="224">
        <f t="shared" si="77"/>
        <v>432</v>
      </c>
      <c r="CK322" s="224">
        <f t="shared" si="78"/>
        <v>4365.68</v>
      </c>
      <c r="CL322" s="224" t="s">
        <v>257</v>
      </c>
      <c r="CM322" s="251" t="s">
        <v>137</v>
      </c>
      <c r="CN322" s="1"/>
      <c r="CO322" s="14"/>
      <c r="CP322" s="14"/>
      <c r="CQ322" s="14"/>
      <c r="CR322" s="14"/>
      <c r="CS322" s="14"/>
      <c r="CT322" s="14"/>
      <c r="CU322" s="14"/>
    </row>
    <row r="323" spans="1:99" s="106" customFormat="1" x14ac:dyDescent="0.25">
      <c r="A323" s="240">
        <v>41518</v>
      </c>
      <c r="B323" s="240"/>
      <c r="C323" s="176" t="s">
        <v>1925</v>
      </c>
      <c r="D323" s="232" t="s">
        <v>54</v>
      </c>
      <c r="E323" s="176" t="s">
        <v>1883</v>
      </c>
      <c r="F323" s="270" t="s">
        <v>1926</v>
      </c>
      <c r="G323" s="270"/>
      <c r="H323" s="270"/>
      <c r="I323" s="270"/>
      <c r="J323" s="176" t="s">
        <v>1903</v>
      </c>
      <c r="K323" s="176">
        <v>91595</v>
      </c>
      <c r="L323" s="223"/>
      <c r="M323" s="223"/>
      <c r="N323" s="223"/>
      <c r="O323" s="223"/>
      <c r="P323" s="223"/>
      <c r="Q323" s="223"/>
      <c r="R323" s="223"/>
      <c r="S323" s="223"/>
      <c r="T323" s="223"/>
      <c r="U323" s="223"/>
      <c r="V323" s="223"/>
      <c r="W323" s="223"/>
      <c r="X323" s="223"/>
      <c r="Y323" s="223"/>
      <c r="Z323" s="223"/>
      <c r="AA323" s="223"/>
      <c r="AB323" s="223"/>
      <c r="AC323" s="223"/>
      <c r="AD323" s="223"/>
      <c r="AE323" s="223"/>
      <c r="AF323" s="223"/>
      <c r="AG323" s="223"/>
      <c r="AH323" s="223"/>
      <c r="AI323" s="223"/>
      <c r="AJ323" s="223"/>
      <c r="AK323" s="223"/>
      <c r="AL323" s="223"/>
      <c r="AM323" s="223"/>
      <c r="AN323" s="223"/>
      <c r="AO323" s="223"/>
      <c r="AP323" s="223"/>
      <c r="AQ323" s="223"/>
      <c r="AR323" s="223"/>
      <c r="AS323" s="223"/>
      <c r="AT323" s="223"/>
      <c r="AU323" s="223"/>
      <c r="AV323" s="223"/>
      <c r="AW323" s="223"/>
      <c r="AX323" s="223"/>
      <c r="AY323" s="223"/>
      <c r="AZ323" s="223"/>
      <c r="BA323" s="223"/>
      <c r="BB323" s="223"/>
      <c r="BC323" s="223"/>
      <c r="BD323" s="223"/>
      <c r="BE323" s="223"/>
      <c r="BF323" s="223"/>
      <c r="BG323" s="223"/>
      <c r="BH323" s="223"/>
      <c r="BI323" s="223"/>
      <c r="BJ323" s="223"/>
      <c r="BK323" s="119">
        <v>12.95</v>
      </c>
      <c r="BL323" s="224" t="s">
        <v>1927</v>
      </c>
      <c r="BM323" s="224"/>
      <c r="BN323" s="224"/>
      <c r="BO323" s="224"/>
      <c r="BP323" s="224"/>
      <c r="BQ323" s="224"/>
      <c r="BR323" s="224"/>
      <c r="BS323" s="224"/>
      <c r="BT323" s="31">
        <v>9.06</v>
      </c>
      <c r="BU323" s="31">
        <v>1.37</v>
      </c>
      <c r="BV323" s="31">
        <v>9.25</v>
      </c>
      <c r="BW323" s="224">
        <f t="shared" si="75"/>
        <v>6.6442621527777787E-2</v>
      </c>
      <c r="BX323" s="31">
        <v>4.7300000000000004</v>
      </c>
      <c r="BY323" s="31">
        <v>3</v>
      </c>
      <c r="BZ323" s="31">
        <v>10.49</v>
      </c>
      <c r="CA323" s="31">
        <v>3</v>
      </c>
      <c r="CB323" s="224">
        <f t="shared" si="76"/>
        <v>8.6141840277777784E-2</v>
      </c>
      <c r="CC323" s="31">
        <v>9.99</v>
      </c>
      <c r="CD323" s="31"/>
      <c r="CE323" s="31"/>
      <c r="CF323" s="224" t="s">
        <v>135</v>
      </c>
      <c r="CG323" s="224">
        <v>3</v>
      </c>
      <c r="CH323" s="224">
        <v>16</v>
      </c>
      <c r="CI323" s="224">
        <v>9</v>
      </c>
      <c r="CJ323" s="224">
        <f t="shared" si="77"/>
        <v>432</v>
      </c>
      <c r="CK323" s="224">
        <f t="shared" si="78"/>
        <v>4365.68</v>
      </c>
      <c r="CL323" s="224" t="s">
        <v>257</v>
      </c>
      <c r="CM323" s="251" t="s">
        <v>137</v>
      </c>
      <c r="CN323" s="1"/>
      <c r="CO323" s="14"/>
      <c r="CP323" s="14"/>
      <c r="CQ323" s="14"/>
      <c r="CR323" s="14"/>
      <c r="CS323" s="14"/>
      <c r="CT323" s="14"/>
      <c r="CU323" s="14"/>
    </row>
    <row r="324" spans="1:99" s="106" customFormat="1" x14ac:dyDescent="0.25">
      <c r="A324" s="240">
        <v>41518</v>
      </c>
      <c r="B324" s="240"/>
      <c r="C324" s="176" t="s">
        <v>1928</v>
      </c>
      <c r="D324" s="232" t="s">
        <v>54</v>
      </c>
      <c r="E324" s="176" t="s">
        <v>1883</v>
      </c>
      <c r="F324" s="270" t="s">
        <v>1929</v>
      </c>
      <c r="G324" s="270"/>
      <c r="H324" s="270"/>
      <c r="I324" s="270"/>
      <c r="J324" s="176" t="s">
        <v>1930</v>
      </c>
      <c r="K324" s="176" t="s">
        <v>1931</v>
      </c>
      <c r="L324" s="223"/>
      <c r="M324" s="223"/>
      <c r="N324" s="223"/>
      <c r="O324" s="223"/>
      <c r="P324" s="223"/>
      <c r="Q324" s="223"/>
      <c r="R324" s="223"/>
      <c r="S324" s="223"/>
      <c r="T324" s="223"/>
      <c r="U324" s="223"/>
      <c r="V324" s="223"/>
      <c r="W324" s="223"/>
      <c r="X324" s="223"/>
      <c r="Y324" s="223"/>
      <c r="Z324" s="223"/>
      <c r="AA324" s="223"/>
      <c r="AB324" s="223"/>
      <c r="AC324" s="223"/>
      <c r="AD324" s="223"/>
      <c r="AE324" s="223"/>
      <c r="AF324" s="223"/>
      <c r="AG324" s="223"/>
      <c r="AH324" s="223"/>
      <c r="AI324" s="223"/>
      <c r="AJ324" s="223"/>
      <c r="AK324" s="223"/>
      <c r="AL324" s="223"/>
      <c r="AM324" s="223"/>
      <c r="AN324" s="223"/>
      <c r="AO324" s="223"/>
      <c r="AP324" s="223"/>
      <c r="AQ324" s="223"/>
      <c r="AR324" s="223"/>
      <c r="AS324" s="223"/>
      <c r="AT324" s="223"/>
      <c r="AU324" s="223"/>
      <c r="AV324" s="223"/>
      <c r="AW324" s="223"/>
      <c r="AX324" s="223"/>
      <c r="AY324" s="223"/>
      <c r="AZ324" s="223"/>
      <c r="BA324" s="223"/>
      <c r="BB324" s="223"/>
      <c r="BC324" s="223"/>
      <c r="BD324" s="223"/>
      <c r="BE324" s="223"/>
      <c r="BF324" s="223"/>
      <c r="BG324" s="223"/>
      <c r="BH324" s="223"/>
      <c r="BI324" s="223"/>
      <c r="BJ324" s="223"/>
      <c r="BK324" s="119">
        <v>34.299999999999997</v>
      </c>
      <c r="BL324" s="224" t="s">
        <v>1932</v>
      </c>
      <c r="BM324" s="224"/>
      <c r="BN324" s="224"/>
      <c r="BO324" s="224"/>
      <c r="BP324" s="224"/>
      <c r="BQ324" s="224"/>
      <c r="BR324" s="224"/>
      <c r="BS324" s="224"/>
      <c r="BT324" s="31">
        <v>7.09</v>
      </c>
      <c r="BU324" s="31">
        <v>1.53</v>
      </c>
      <c r="BV324" s="31">
        <v>11.5</v>
      </c>
      <c r="BW324" s="224">
        <f t="shared" si="75"/>
        <v>7.2192447916666666E-2</v>
      </c>
      <c r="BX324" s="31">
        <v>5.23</v>
      </c>
      <c r="BY324" s="31">
        <v>3</v>
      </c>
      <c r="BZ324" s="31">
        <v>11.92</v>
      </c>
      <c r="CA324" s="31">
        <v>3</v>
      </c>
      <c r="CB324" s="224">
        <f t="shared" si="76"/>
        <v>0.10823194444444445</v>
      </c>
      <c r="CC324" s="31">
        <v>7.99</v>
      </c>
      <c r="CD324" s="31"/>
      <c r="CE324" s="31"/>
      <c r="CF324" s="224" t="s">
        <v>135</v>
      </c>
      <c r="CG324" s="224">
        <v>3</v>
      </c>
      <c r="CH324" s="224">
        <v>20</v>
      </c>
      <c r="CI324" s="224">
        <v>8</v>
      </c>
      <c r="CJ324" s="224">
        <f t="shared" si="77"/>
        <v>480</v>
      </c>
      <c r="CK324" s="224">
        <f t="shared" si="78"/>
        <v>3885.2000000000003</v>
      </c>
      <c r="CL324" s="224" t="s">
        <v>257</v>
      </c>
      <c r="CM324" s="251" t="s">
        <v>137</v>
      </c>
      <c r="CN324" s="1"/>
      <c r="CO324" s="14"/>
      <c r="CP324" s="14"/>
      <c r="CQ324" s="14"/>
      <c r="CR324" s="14"/>
      <c r="CS324" s="14"/>
      <c r="CT324" s="14"/>
      <c r="CU324" s="14"/>
    </row>
    <row r="325" spans="1:99" s="106" customFormat="1" x14ac:dyDescent="0.25">
      <c r="A325" s="240">
        <v>41518</v>
      </c>
      <c r="B325" s="240"/>
      <c r="C325" s="176" t="s">
        <v>1933</v>
      </c>
      <c r="D325" s="232" t="s">
        <v>54</v>
      </c>
      <c r="E325" s="176" t="s">
        <v>1883</v>
      </c>
      <c r="F325" s="270" t="s">
        <v>1934</v>
      </c>
      <c r="G325" s="270"/>
      <c r="H325" s="270"/>
      <c r="I325" s="270"/>
      <c r="J325" s="176" t="s">
        <v>519</v>
      </c>
      <c r="K325" s="176" t="s">
        <v>1935</v>
      </c>
      <c r="L325" s="223"/>
      <c r="M325" s="223"/>
      <c r="N325" s="223"/>
      <c r="O325" s="223"/>
      <c r="P325" s="223"/>
      <c r="Q325" s="223"/>
      <c r="R325" s="223"/>
      <c r="S325" s="223"/>
      <c r="T325" s="223"/>
      <c r="U325" s="223"/>
      <c r="V325" s="223"/>
      <c r="W325" s="223"/>
      <c r="X325" s="223"/>
      <c r="Y325" s="223"/>
      <c r="Z325" s="223"/>
      <c r="AA325" s="223"/>
      <c r="AB325" s="223"/>
      <c r="AC325" s="223"/>
      <c r="AD325" s="223"/>
      <c r="AE325" s="223"/>
      <c r="AF325" s="223"/>
      <c r="AG325" s="223"/>
      <c r="AH325" s="223"/>
      <c r="AI325" s="223"/>
      <c r="AJ325" s="223"/>
      <c r="AK325" s="223"/>
      <c r="AL325" s="223"/>
      <c r="AM325" s="223"/>
      <c r="AN325" s="223"/>
      <c r="AO325" s="223"/>
      <c r="AP325" s="223"/>
      <c r="AQ325" s="223"/>
      <c r="AR325" s="223"/>
      <c r="AS325" s="223"/>
      <c r="AT325" s="223"/>
      <c r="AU325" s="223"/>
      <c r="AV325" s="223"/>
      <c r="AW325" s="223"/>
      <c r="AX325" s="223"/>
      <c r="AY325" s="223"/>
      <c r="AZ325" s="223"/>
      <c r="BA325" s="223"/>
      <c r="BB325" s="223"/>
      <c r="BC325" s="223"/>
      <c r="BD325" s="223"/>
      <c r="BE325" s="223"/>
      <c r="BF325" s="223"/>
      <c r="BG325" s="223"/>
      <c r="BH325" s="223"/>
      <c r="BI325" s="223"/>
      <c r="BJ325" s="223"/>
      <c r="BK325" s="119">
        <v>38.9</v>
      </c>
      <c r="BL325" s="224" t="s">
        <v>1936</v>
      </c>
      <c r="BM325" s="224"/>
      <c r="BN325" s="224"/>
      <c r="BO325" s="224"/>
      <c r="BP325" s="224"/>
      <c r="BQ325" s="224"/>
      <c r="BR325" s="224"/>
      <c r="BS325" s="224"/>
      <c r="BT325" s="31">
        <v>7.5</v>
      </c>
      <c r="BU325" s="31">
        <v>1.31</v>
      </c>
      <c r="BV325" s="31">
        <v>13</v>
      </c>
      <c r="BW325" s="224">
        <f t="shared" si="75"/>
        <v>7.3914930555555564E-2</v>
      </c>
      <c r="BX325" s="31">
        <v>4.6399999999999997</v>
      </c>
      <c r="BY325" s="31">
        <v>3</v>
      </c>
      <c r="BZ325" s="31">
        <v>14.26</v>
      </c>
      <c r="CA325" s="31">
        <v>3</v>
      </c>
      <c r="CB325" s="224">
        <f t="shared" si="76"/>
        <v>0.11487222222222222</v>
      </c>
      <c r="CC325" s="31">
        <v>9.6300000000000008</v>
      </c>
      <c r="CD325" s="31"/>
      <c r="CE325" s="31"/>
      <c r="CF325" s="224" t="s">
        <v>135</v>
      </c>
      <c r="CG325" s="224">
        <v>3</v>
      </c>
      <c r="CH325" s="224">
        <v>12</v>
      </c>
      <c r="CI325" s="224">
        <v>9</v>
      </c>
      <c r="CJ325" s="224">
        <f t="shared" si="77"/>
        <v>324</v>
      </c>
      <c r="CK325" s="224">
        <f t="shared" si="78"/>
        <v>3170.1200000000003</v>
      </c>
      <c r="CL325" s="224" t="s">
        <v>257</v>
      </c>
      <c r="CM325" s="251" t="s">
        <v>137</v>
      </c>
      <c r="CN325" s="1"/>
      <c r="CO325" s="14"/>
      <c r="CP325" s="14"/>
      <c r="CQ325" s="14"/>
      <c r="CR325" s="14"/>
      <c r="CS325" s="14"/>
      <c r="CT325" s="14"/>
      <c r="CU325" s="14"/>
    </row>
    <row r="326" spans="1:99" s="106" customFormat="1" x14ac:dyDescent="0.25">
      <c r="A326" s="240">
        <v>41518</v>
      </c>
      <c r="B326" s="240"/>
      <c r="C326" s="176" t="s">
        <v>1937</v>
      </c>
      <c r="D326" s="232" t="s">
        <v>54</v>
      </c>
      <c r="E326" s="176" t="s">
        <v>1883</v>
      </c>
      <c r="F326" s="270" t="s">
        <v>1938</v>
      </c>
      <c r="G326" s="270"/>
      <c r="H326" s="270"/>
      <c r="I326" s="270"/>
      <c r="J326" s="176" t="s">
        <v>1903</v>
      </c>
      <c r="K326" s="176" t="s">
        <v>1939</v>
      </c>
      <c r="L326" s="223"/>
      <c r="M326" s="223"/>
      <c r="N326" s="223"/>
      <c r="O326" s="223"/>
      <c r="P326" s="223"/>
      <c r="Q326" s="223"/>
      <c r="R326" s="223"/>
      <c r="S326" s="223"/>
      <c r="T326" s="223"/>
      <c r="U326" s="223"/>
      <c r="V326" s="223"/>
      <c r="W326" s="223"/>
      <c r="X326" s="223"/>
      <c r="Y326" s="223"/>
      <c r="Z326" s="223"/>
      <c r="AA326" s="223"/>
      <c r="AB326" s="223"/>
      <c r="AC326" s="223"/>
      <c r="AD326" s="223"/>
      <c r="AE326" s="223"/>
      <c r="AF326" s="223"/>
      <c r="AG326" s="223"/>
      <c r="AH326" s="223"/>
      <c r="AI326" s="223"/>
      <c r="AJ326" s="223"/>
      <c r="AK326" s="223"/>
      <c r="AL326" s="223"/>
      <c r="AM326" s="223"/>
      <c r="AN326" s="223"/>
      <c r="AO326" s="223"/>
      <c r="AP326" s="223"/>
      <c r="AQ326" s="223"/>
      <c r="AR326" s="223"/>
      <c r="AS326" s="223"/>
      <c r="AT326" s="223"/>
      <c r="AU326" s="223"/>
      <c r="AV326" s="223"/>
      <c r="AW326" s="223"/>
      <c r="AX326" s="223"/>
      <c r="AY326" s="223"/>
      <c r="AZ326" s="223"/>
      <c r="BA326" s="223"/>
      <c r="BB326" s="223"/>
      <c r="BC326" s="223"/>
      <c r="BD326" s="223"/>
      <c r="BE326" s="223"/>
      <c r="BF326" s="223"/>
      <c r="BG326" s="223"/>
      <c r="BH326" s="223"/>
      <c r="BI326" s="223"/>
      <c r="BJ326" s="223"/>
      <c r="BK326" s="119">
        <v>23.95</v>
      </c>
      <c r="BL326" s="224" t="s">
        <v>1940</v>
      </c>
      <c r="BM326" s="224"/>
      <c r="BN326" s="224"/>
      <c r="BO326" s="224"/>
      <c r="BP326" s="224"/>
      <c r="BQ326" s="224"/>
      <c r="BR326" s="224"/>
      <c r="BS326" s="224"/>
      <c r="BT326" s="31">
        <v>9.06</v>
      </c>
      <c r="BU326" s="31">
        <v>1.37</v>
      </c>
      <c r="BV326" s="31">
        <v>9.25</v>
      </c>
      <c r="BW326" s="224">
        <f t="shared" si="75"/>
        <v>6.6442621527777787E-2</v>
      </c>
      <c r="BX326" s="31">
        <v>4.7300000000000004</v>
      </c>
      <c r="BY326" s="31">
        <v>3</v>
      </c>
      <c r="BZ326" s="31">
        <v>10.49</v>
      </c>
      <c r="CA326" s="31">
        <v>3</v>
      </c>
      <c r="CB326" s="224">
        <f t="shared" si="76"/>
        <v>8.6141840277777784E-2</v>
      </c>
      <c r="CC326" s="31">
        <v>9.99</v>
      </c>
      <c r="CD326" s="31"/>
      <c r="CE326" s="31"/>
      <c r="CF326" s="224" t="s">
        <v>135</v>
      </c>
      <c r="CG326" s="224">
        <v>3</v>
      </c>
      <c r="CH326" s="224">
        <v>16</v>
      </c>
      <c r="CI326" s="224">
        <v>9</v>
      </c>
      <c r="CJ326" s="224">
        <f t="shared" si="77"/>
        <v>432</v>
      </c>
      <c r="CK326" s="224">
        <f t="shared" si="78"/>
        <v>4365.68</v>
      </c>
      <c r="CL326" s="224" t="s">
        <v>257</v>
      </c>
      <c r="CM326" s="251" t="s">
        <v>137</v>
      </c>
      <c r="CN326" s="1"/>
      <c r="CO326" s="14"/>
      <c r="CP326" s="14"/>
      <c r="CQ326" s="14"/>
      <c r="CR326" s="14"/>
      <c r="CS326" s="14"/>
      <c r="CT326" s="14"/>
      <c r="CU326" s="14"/>
    </row>
    <row r="327" spans="1:99" s="106" customFormat="1" x14ac:dyDescent="0.25">
      <c r="A327" s="240">
        <v>41518</v>
      </c>
      <c r="B327" s="240"/>
      <c r="C327" s="176" t="s">
        <v>1941</v>
      </c>
      <c r="D327" s="232" t="s">
        <v>54</v>
      </c>
      <c r="E327" s="176" t="s">
        <v>1883</v>
      </c>
      <c r="F327" s="270" t="s">
        <v>1942</v>
      </c>
      <c r="G327" s="270"/>
      <c r="H327" s="270"/>
      <c r="I327" s="270"/>
      <c r="J327" s="176" t="s">
        <v>1943</v>
      </c>
      <c r="K327" s="176" t="s">
        <v>1944</v>
      </c>
      <c r="L327" s="223"/>
      <c r="M327" s="223"/>
      <c r="N327" s="223"/>
      <c r="O327" s="223"/>
      <c r="P327" s="223"/>
      <c r="Q327" s="223"/>
      <c r="R327" s="223"/>
      <c r="S327" s="223"/>
      <c r="T327" s="223"/>
      <c r="U327" s="223"/>
      <c r="V327" s="223"/>
      <c r="W327" s="223"/>
      <c r="X327" s="223"/>
      <c r="Y327" s="223"/>
      <c r="Z327" s="223"/>
      <c r="AA327" s="223"/>
      <c r="AB327" s="223"/>
      <c r="AC327" s="223"/>
      <c r="AD327" s="223"/>
      <c r="AE327" s="223"/>
      <c r="AF327" s="223"/>
      <c r="AG327" s="223"/>
      <c r="AH327" s="223"/>
      <c r="AI327" s="223"/>
      <c r="AJ327" s="223"/>
      <c r="AK327" s="223"/>
      <c r="AL327" s="223"/>
      <c r="AM327" s="223"/>
      <c r="AN327" s="223"/>
      <c r="AO327" s="223"/>
      <c r="AP327" s="223"/>
      <c r="AQ327" s="223"/>
      <c r="AR327" s="223"/>
      <c r="AS327" s="223"/>
      <c r="AT327" s="223"/>
      <c r="AU327" s="223"/>
      <c r="AV327" s="223"/>
      <c r="AW327" s="223"/>
      <c r="AX327" s="223"/>
      <c r="AY327" s="223"/>
      <c r="AZ327" s="223"/>
      <c r="BA327" s="223"/>
      <c r="BB327" s="223"/>
      <c r="BC327" s="223"/>
      <c r="BD327" s="223"/>
      <c r="BE327" s="223"/>
      <c r="BF327" s="223"/>
      <c r="BG327" s="223"/>
      <c r="BH327" s="223"/>
      <c r="BI327" s="223"/>
      <c r="BJ327" s="223"/>
      <c r="BK327" s="119">
        <v>69.900000000000006</v>
      </c>
      <c r="BL327" s="224"/>
      <c r="BM327" s="223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4" t="s">
        <v>135</v>
      </c>
      <c r="CG327" s="223"/>
      <c r="CH327" s="223"/>
      <c r="CI327" s="223"/>
      <c r="CJ327" s="223"/>
      <c r="CK327" s="224"/>
      <c r="CL327" s="223"/>
      <c r="CM327" s="251" t="s">
        <v>137</v>
      </c>
      <c r="CN327" s="14"/>
      <c r="CO327" s="14"/>
      <c r="CP327" s="14"/>
      <c r="CQ327" s="14"/>
      <c r="CR327" s="14"/>
      <c r="CS327" s="14"/>
      <c r="CT327" s="14"/>
      <c r="CU327" s="14"/>
    </row>
    <row r="328" spans="1:99" s="106" customFormat="1" x14ac:dyDescent="0.25">
      <c r="A328" s="240">
        <v>41518</v>
      </c>
      <c r="B328" s="240"/>
      <c r="C328" s="223" t="s">
        <v>1945</v>
      </c>
      <c r="D328" s="232" t="s">
        <v>54</v>
      </c>
      <c r="E328" s="224" t="s">
        <v>1786</v>
      </c>
      <c r="F328" s="176" t="s">
        <v>1946</v>
      </c>
      <c r="G328" s="176"/>
      <c r="H328" s="176"/>
      <c r="I328" s="176"/>
      <c r="J328" s="223" t="s">
        <v>1947</v>
      </c>
      <c r="K328" s="223" t="s">
        <v>1948</v>
      </c>
      <c r="L328" s="223"/>
      <c r="M328" s="223"/>
      <c r="N328" s="223"/>
      <c r="O328" s="223"/>
      <c r="P328" s="223"/>
      <c r="Q328" s="223"/>
      <c r="R328" s="223"/>
      <c r="S328" s="223"/>
      <c r="T328" s="223"/>
      <c r="U328" s="223"/>
      <c r="V328" s="223"/>
      <c r="W328" s="223"/>
      <c r="X328" s="223"/>
      <c r="Y328" s="223"/>
      <c r="Z328" s="223"/>
      <c r="AA328" s="223"/>
      <c r="AB328" s="223"/>
      <c r="AC328" s="223"/>
      <c r="AD328" s="223"/>
      <c r="AE328" s="223"/>
      <c r="AF328" s="223"/>
      <c r="AG328" s="223"/>
      <c r="AH328" s="223"/>
      <c r="AI328" s="223"/>
      <c r="AJ328" s="223"/>
      <c r="AK328" s="223"/>
      <c r="AL328" s="223"/>
      <c r="AM328" s="223"/>
      <c r="AN328" s="223" t="s">
        <v>1949</v>
      </c>
      <c r="AO328" s="223"/>
      <c r="AP328" s="223">
        <v>89117</v>
      </c>
      <c r="AQ328" s="223"/>
      <c r="AR328" s="223"/>
      <c r="AS328" s="223"/>
      <c r="AT328" s="223" t="s">
        <v>1950</v>
      </c>
      <c r="AU328" s="223"/>
      <c r="AV328" s="223" t="s">
        <v>1951</v>
      </c>
      <c r="AW328" s="223"/>
      <c r="AX328" s="223"/>
      <c r="AY328" s="223"/>
      <c r="AZ328" s="223"/>
      <c r="BA328" s="223"/>
      <c r="BB328" s="223"/>
      <c r="BC328" s="223"/>
      <c r="BD328" s="223">
        <v>4117</v>
      </c>
      <c r="BE328" s="223"/>
      <c r="BF328" s="223"/>
      <c r="BG328" s="223"/>
      <c r="BH328" s="223"/>
      <c r="BI328" s="223"/>
      <c r="BJ328" s="223">
        <v>24117</v>
      </c>
      <c r="BK328" s="119">
        <v>12.16</v>
      </c>
      <c r="BL328" s="224"/>
      <c r="BM328" s="223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4" t="s">
        <v>135</v>
      </c>
      <c r="CG328" s="223"/>
      <c r="CH328" s="223">
        <v>26</v>
      </c>
      <c r="CI328" s="223">
        <v>7</v>
      </c>
      <c r="CJ328" s="223">
        <v>546</v>
      </c>
      <c r="CK328" s="224"/>
      <c r="CL328" s="223"/>
      <c r="CM328" s="251" t="s">
        <v>137</v>
      </c>
      <c r="CN328" s="14"/>
      <c r="CO328" s="14"/>
      <c r="CP328" s="14"/>
      <c r="CQ328" s="14"/>
      <c r="CR328" s="14"/>
      <c r="CS328" s="14"/>
      <c r="CT328" s="14"/>
      <c r="CU328" s="14"/>
    </row>
    <row r="329" spans="1:99" s="106" customFormat="1" x14ac:dyDescent="0.25">
      <c r="A329" s="240">
        <v>41518</v>
      </c>
      <c r="B329" s="240"/>
      <c r="C329" s="223" t="s">
        <v>1952</v>
      </c>
      <c r="D329" s="232" t="s">
        <v>54</v>
      </c>
      <c r="E329" s="224" t="s">
        <v>72</v>
      </c>
      <c r="F329" s="263" t="s">
        <v>1953</v>
      </c>
      <c r="G329" s="406"/>
      <c r="H329" s="406"/>
      <c r="I329" s="406"/>
      <c r="J329" s="223" t="s">
        <v>156</v>
      </c>
      <c r="K329" s="223">
        <v>87720899</v>
      </c>
      <c r="L329" s="223" t="s">
        <v>351</v>
      </c>
      <c r="M329" s="223" t="s">
        <v>1954</v>
      </c>
      <c r="N329" s="223"/>
      <c r="O329" s="223"/>
      <c r="P329" s="223"/>
      <c r="Q329" s="223"/>
      <c r="R329" s="223"/>
      <c r="S329" s="223"/>
      <c r="T329" s="223"/>
      <c r="U329" s="223"/>
      <c r="V329" s="223"/>
      <c r="W329" s="223"/>
      <c r="X329" s="223"/>
      <c r="Y329" s="223"/>
      <c r="Z329" s="223"/>
      <c r="AA329" s="223"/>
      <c r="AB329" s="223"/>
      <c r="AC329" s="223"/>
      <c r="AD329" s="223"/>
      <c r="AE329" s="223"/>
      <c r="AF329" s="223"/>
      <c r="AG329" s="223"/>
      <c r="AH329" s="223"/>
      <c r="AI329" s="223"/>
      <c r="AJ329" s="223"/>
      <c r="AK329" s="223"/>
      <c r="AL329" s="223"/>
      <c r="AM329" s="223"/>
      <c r="AN329" s="223" t="s">
        <v>1955</v>
      </c>
      <c r="AO329" s="223"/>
      <c r="AP329" s="223">
        <v>87795</v>
      </c>
      <c r="AQ329" s="223"/>
      <c r="AR329" s="223" t="s">
        <v>1956</v>
      </c>
      <c r="AS329" s="223"/>
      <c r="AT329" s="223" t="s">
        <v>1957</v>
      </c>
      <c r="AU329" s="223"/>
      <c r="AV329" s="223" t="s">
        <v>1958</v>
      </c>
      <c r="AW329" s="223" t="s">
        <v>1959</v>
      </c>
      <c r="AX329" s="223"/>
      <c r="AY329" s="223"/>
      <c r="AZ329" s="223"/>
      <c r="BA329" s="223" t="s">
        <v>1960</v>
      </c>
      <c r="BB329" s="223"/>
      <c r="BC329" s="223"/>
      <c r="BD329" s="223">
        <v>2795</v>
      </c>
      <c r="BE329" s="223"/>
      <c r="BF329" s="223"/>
      <c r="BG329" s="223"/>
      <c r="BH329" s="223"/>
      <c r="BI329" s="223"/>
      <c r="BJ329" s="223">
        <v>42795</v>
      </c>
      <c r="BK329" s="119">
        <v>59.92</v>
      </c>
      <c r="BL329" s="224"/>
      <c r="BM329" s="223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4" t="s">
        <v>135</v>
      </c>
      <c r="CG329" s="223"/>
      <c r="CH329" s="223">
        <v>136</v>
      </c>
      <c r="CI329" s="223">
        <v>3</v>
      </c>
      <c r="CJ329" s="223">
        <v>408</v>
      </c>
      <c r="CK329" s="224"/>
      <c r="CL329" s="223"/>
      <c r="CM329" s="251" t="s">
        <v>137</v>
      </c>
      <c r="CN329" s="14"/>
      <c r="CO329" s="14"/>
      <c r="CP329" s="14"/>
      <c r="CQ329" s="14"/>
      <c r="CR329" s="14"/>
      <c r="CS329" s="14"/>
      <c r="CT329" s="14"/>
      <c r="CU329" s="14"/>
    </row>
    <row r="330" spans="1:99" s="106" customFormat="1" ht="30" x14ac:dyDescent="0.25">
      <c r="A330" s="240">
        <v>41518</v>
      </c>
      <c r="B330" s="240"/>
      <c r="C330" s="223" t="s">
        <v>1961</v>
      </c>
      <c r="D330" s="232" t="s">
        <v>54</v>
      </c>
      <c r="E330" s="224" t="s">
        <v>72</v>
      </c>
      <c r="F330" s="263" t="s">
        <v>1962</v>
      </c>
      <c r="G330" s="406"/>
      <c r="H330" s="406"/>
      <c r="I330" s="406"/>
      <c r="J330" s="223" t="s">
        <v>227</v>
      </c>
      <c r="K330" s="223">
        <v>3903343</v>
      </c>
      <c r="L330" s="223" t="s">
        <v>849</v>
      </c>
      <c r="M330" s="223" t="s">
        <v>1963</v>
      </c>
      <c r="N330" s="223" t="s">
        <v>1964</v>
      </c>
      <c r="O330" s="223" t="s">
        <v>1965</v>
      </c>
      <c r="P330" s="223"/>
      <c r="Q330" s="223"/>
      <c r="R330" s="223"/>
      <c r="S330" s="223"/>
      <c r="T330" s="223"/>
      <c r="U330" s="223"/>
      <c r="V330" s="223"/>
      <c r="W330" s="223"/>
      <c r="X330" s="223"/>
      <c r="Y330" s="223"/>
      <c r="Z330" s="223"/>
      <c r="AA330" s="223"/>
      <c r="AB330" s="223"/>
      <c r="AC330" s="223"/>
      <c r="AD330" s="223"/>
      <c r="AE330" s="223"/>
      <c r="AF330" s="223"/>
      <c r="AG330" s="223"/>
      <c r="AH330" s="223"/>
      <c r="AI330" s="223"/>
      <c r="AJ330" s="223"/>
      <c r="AK330" s="223"/>
      <c r="AL330" s="223"/>
      <c r="AM330" s="223"/>
      <c r="AN330" s="223"/>
      <c r="AO330" s="223"/>
      <c r="AP330" s="223"/>
      <c r="AQ330" s="223"/>
      <c r="AR330" s="223"/>
      <c r="AS330" s="223"/>
      <c r="AT330" s="223"/>
      <c r="AU330" s="223"/>
      <c r="AV330" s="223"/>
      <c r="AW330" s="223"/>
      <c r="AX330" s="223"/>
      <c r="AY330" s="223"/>
      <c r="AZ330" s="223"/>
      <c r="BA330" s="223"/>
      <c r="BB330" s="223"/>
      <c r="BC330" s="223"/>
      <c r="BD330" s="223"/>
      <c r="BE330" s="223"/>
      <c r="BF330" s="223"/>
      <c r="BG330" s="223"/>
      <c r="BH330" s="223"/>
      <c r="BI330" s="223"/>
      <c r="BJ330" s="223"/>
      <c r="BK330" s="119">
        <v>355</v>
      </c>
      <c r="BL330" s="224"/>
      <c r="BM330" s="223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4" t="s">
        <v>135</v>
      </c>
      <c r="CG330" s="223"/>
      <c r="CH330" s="223">
        <v>4</v>
      </c>
      <c r="CI330" s="223">
        <v>4</v>
      </c>
      <c r="CJ330" s="223">
        <v>16</v>
      </c>
      <c r="CK330" s="224"/>
      <c r="CL330" s="223"/>
      <c r="CM330" s="251" t="s">
        <v>137</v>
      </c>
      <c r="CN330" s="14"/>
      <c r="CO330" s="14"/>
      <c r="CP330" s="14"/>
      <c r="CQ330" s="14"/>
      <c r="CR330" s="14"/>
      <c r="CS330" s="14"/>
      <c r="CT330" s="14"/>
      <c r="CU330" s="14"/>
    </row>
    <row r="331" spans="1:99" s="106" customFormat="1" x14ac:dyDescent="0.25">
      <c r="A331" s="240">
        <v>41518</v>
      </c>
      <c r="B331" s="240"/>
      <c r="C331" s="223" t="s">
        <v>1966</v>
      </c>
      <c r="D331" s="232" t="s">
        <v>54</v>
      </c>
      <c r="E331" s="224" t="s">
        <v>1967</v>
      </c>
      <c r="F331" s="263" t="s">
        <v>1968</v>
      </c>
      <c r="G331" s="406"/>
      <c r="H331" s="406"/>
      <c r="I331" s="406"/>
      <c r="J331" s="223" t="s">
        <v>519</v>
      </c>
      <c r="K331" s="223" t="s">
        <v>1969</v>
      </c>
      <c r="L331" s="223"/>
      <c r="M331" s="223"/>
      <c r="N331" s="223"/>
      <c r="O331" s="223"/>
      <c r="P331" s="223"/>
      <c r="Q331" s="223"/>
      <c r="R331" s="223"/>
      <c r="S331" s="223"/>
      <c r="T331" s="223"/>
      <c r="U331" s="223"/>
      <c r="V331" s="223"/>
      <c r="W331" s="223"/>
      <c r="X331" s="223"/>
      <c r="Y331" s="223"/>
      <c r="Z331" s="223"/>
      <c r="AA331" s="223"/>
      <c r="AB331" s="223"/>
      <c r="AC331" s="223"/>
      <c r="AD331" s="223"/>
      <c r="AE331" s="223"/>
      <c r="AF331" s="223"/>
      <c r="AG331" s="223"/>
      <c r="AH331" s="223"/>
      <c r="AI331" s="223"/>
      <c r="AJ331" s="223"/>
      <c r="AK331" s="223"/>
      <c r="AL331" s="223"/>
      <c r="AM331" s="223"/>
      <c r="AN331" s="223"/>
      <c r="AO331" s="223"/>
      <c r="AP331" s="223">
        <v>84708</v>
      </c>
      <c r="AQ331" s="223"/>
      <c r="AR331" s="223"/>
      <c r="AS331" s="223"/>
      <c r="AT331" s="223" t="s">
        <v>1970</v>
      </c>
      <c r="AU331" s="223"/>
      <c r="AV331" s="223"/>
      <c r="AW331" s="223"/>
      <c r="AX331" s="223"/>
      <c r="AY331" s="223"/>
      <c r="AZ331" s="223"/>
      <c r="BA331" s="223"/>
      <c r="BB331" s="223"/>
      <c r="BC331" s="223"/>
      <c r="BD331" s="223">
        <v>7708</v>
      </c>
      <c r="BE331" s="223"/>
      <c r="BF331" s="223"/>
      <c r="BG331" s="223"/>
      <c r="BH331" s="223"/>
      <c r="BI331" s="223"/>
      <c r="BJ331" s="223">
        <v>57708</v>
      </c>
      <c r="BK331" s="119">
        <v>66.42</v>
      </c>
      <c r="BL331" s="224"/>
      <c r="BM331" s="223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4" t="s">
        <v>135</v>
      </c>
      <c r="CG331" s="223"/>
      <c r="CH331" s="223">
        <v>10</v>
      </c>
      <c r="CI331" s="223">
        <v>3</v>
      </c>
      <c r="CJ331" s="223">
        <v>180</v>
      </c>
      <c r="CK331" s="224"/>
      <c r="CL331" s="223"/>
      <c r="CM331" s="251" t="s">
        <v>137</v>
      </c>
      <c r="CN331" s="14"/>
      <c r="CO331" s="14"/>
      <c r="CP331" s="14"/>
      <c r="CQ331" s="14"/>
      <c r="CR331" s="14"/>
      <c r="CS331" s="14"/>
      <c r="CT331" s="14"/>
      <c r="CU331" s="14"/>
    </row>
    <row r="332" spans="1:99" s="106" customFormat="1" x14ac:dyDescent="0.25">
      <c r="A332" s="240">
        <v>41518</v>
      </c>
      <c r="B332" s="240"/>
      <c r="C332" s="224" t="s">
        <v>1971</v>
      </c>
      <c r="D332" s="232" t="s">
        <v>54</v>
      </c>
      <c r="E332" s="224" t="s">
        <v>1851</v>
      </c>
      <c r="F332" s="272" t="s">
        <v>1972</v>
      </c>
      <c r="G332" s="272"/>
      <c r="H332" s="272"/>
      <c r="I332" s="272"/>
      <c r="J332" s="223" t="s">
        <v>1973</v>
      </c>
      <c r="K332" s="223"/>
      <c r="L332" s="223"/>
      <c r="M332" s="223"/>
      <c r="N332" s="223"/>
      <c r="O332" s="223"/>
      <c r="P332" s="223"/>
      <c r="Q332" s="223"/>
      <c r="R332" s="223"/>
      <c r="S332" s="223"/>
      <c r="T332" s="223"/>
      <c r="U332" s="223"/>
      <c r="V332" s="223"/>
      <c r="W332" s="223"/>
      <c r="X332" s="223"/>
      <c r="Y332" s="223"/>
      <c r="Z332" s="223"/>
      <c r="AA332" s="223"/>
      <c r="AB332" s="223"/>
      <c r="AC332" s="223"/>
      <c r="AD332" s="223"/>
      <c r="AE332" s="223"/>
      <c r="AF332" s="223"/>
      <c r="AG332" s="223"/>
      <c r="AH332" s="223"/>
      <c r="AI332" s="223"/>
      <c r="AJ332" s="223"/>
      <c r="AK332" s="223"/>
      <c r="AL332" s="223"/>
      <c r="AM332" s="223"/>
      <c r="AN332" s="223"/>
      <c r="AO332" s="223"/>
      <c r="AP332" s="223"/>
      <c r="AQ332" s="223"/>
      <c r="AR332" s="223"/>
      <c r="AS332" s="223"/>
      <c r="AT332" s="223"/>
      <c r="AU332" s="223"/>
      <c r="AV332" s="223"/>
      <c r="AW332" s="223"/>
      <c r="AX332" s="223"/>
      <c r="AY332" s="223"/>
      <c r="AZ332" s="223"/>
      <c r="BA332" s="223"/>
      <c r="BB332" s="223"/>
      <c r="BC332" s="223"/>
      <c r="BD332" s="223"/>
      <c r="BE332" s="223"/>
      <c r="BF332" s="223"/>
      <c r="BG332" s="223"/>
      <c r="BH332" s="223"/>
      <c r="BI332" s="223"/>
      <c r="BJ332" s="223"/>
      <c r="BK332" s="119">
        <v>118.03</v>
      </c>
      <c r="BL332" s="224"/>
      <c r="BM332" s="224"/>
      <c r="BN332" s="224"/>
      <c r="BO332" s="224"/>
      <c r="BP332" s="224"/>
      <c r="BQ332" s="224"/>
      <c r="BR332" s="224"/>
      <c r="BS332" s="224"/>
      <c r="BT332" s="224"/>
      <c r="BU332" s="224"/>
      <c r="BV332" s="224"/>
      <c r="BW332" s="224"/>
      <c r="BX332" s="224"/>
      <c r="BY332" s="224"/>
      <c r="BZ332" s="224"/>
      <c r="CA332" s="224"/>
      <c r="CB332" s="224"/>
      <c r="CC332" s="224"/>
      <c r="CD332" s="224"/>
      <c r="CE332" s="224"/>
      <c r="CF332" s="224" t="s">
        <v>135</v>
      </c>
      <c r="CG332" s="224"/>
      <c r="CH332" s="224"/>
      <c r="CI332" s="224"/>
      <c r="CJ332" s="224"/>
      <c r="CK332" s="224"/>
      <c r="CL332" s="224"/>
      <c r="CM332" s="251" t="s">
        <v>151</v>
      </c>
      <c r="CN332" s="1"/>
      <c r="CO332" s="14"/>
      <c r="CP332" s="14"/>
      <c r="CQ332" s="14"/>
      <c r="CR332" s="14"/>
      <c r="CS332" s="14"/>
      <c r="CT332" s="14"/>
      <c r="CU332" s="14"/>
    </row>
    <row r="333" spans="1:99" s="106" customFormat="1" x14ac:dyDescent="0.25">
      <c r="A333" s="240">
        <v>41334</v>
      </c>
      <c r="B333" s="240"/>
      <c r="C333" s="26" t="s">
        <v>1974</v>
      </c>
      <c r="D333" s="232" t="s">
        <v>54</v>
      </c>
      <c r="E333" s="223" t="s">
        <v>72</v>
      </c>
      <c r="F333" s="263"/>
      <c r="G333" s="406"/>
      <c r="H333" s="406"/>
      <c r="I333" s="406"/>
      <c r="J333" s="223"/>
      <c r="K333" s="223"/>
      <c r="L333" s="223"/>
      <c r="M333" s="223"/>
      <c r="N333" s="223"/>
      <c r="O333" s="223"/>
      <c r="P333" s="223"/>
      <c r="Q333" s="223"/>
      <c r="R333" s="223"/>
      <c r="S333" s="223"/>
      <c r="T333" s="223"/>
      <c r="U333" s="223"/>
      <c r="V333" s="223"/>
      <c r="W333" s="223"/>
      <c r="X333" s="223"/>
      <c r="Y333" s="223"/>
      <c r="Z333" s="223"/>
      <c r="AA333" s="223"/>
      <c r="AB333" s="223"/>
      <c r="AC333" s="223"/>
      <c r="AD333" s="223"/>
      <c r="AE333" s="223"/>
      <c r="AF333" s="223"/>
      <c r="AG333" s="223"/>
      <c r="AH333" s="223"/>
      <c r="AI333" s="223"/>
      <c r="AJ333" s="223"/>
      <c r="AK333" s="223"/>
      <c r="AL333" s="223"/>
      <c r="AM333" s="223"/>
      <c r="AN333" s="223"/>
      <c r="AO333" s="223"/>
      <c r="AP333" s="223"/>
      <c r="AQ333" s="223"/>
      <c r="AR333" s="223"/>
      <c r="AS333" s="223"/>
      <c r="AT333" s="223"/>
      <c r="AU333" s="223"/>
      <c r="AV333" s="223"/>
      <c r="AW333" s="223"/>
      <c r="AX333" s="223"/>
      <c r="AY333" s="223"/>
      <c r="AZ333" s="223"/>
      <c r="BA333" s="223"/>
      <c r="BB333" s="223"/>
      <c r="BC333" s="223"/>
      <c r="BD333" s="223"/>
      <c r="BE333" s="223"/>
      <c r="BF333" s="223"/>
      <c r="BG333" s="223"/>
      <c r="BH333" s="223"/>
      <c r="BI333" s="223"/>
      <c r="BJ333" s="223"/>
      <c r="BK333" s="119">
        <v>52.95</v>
      </c>
      <c r="BL333" s="223"/>
      <c r="BM333" s="223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  <c r="CG333" s="223"/>
      <c r="CH333" s="223"/>
      <c r="CI333" s="223"/>
      <c r="CJ333" s="223"/>
      <c r="CK333" s="223"/>
      <c r="CL333" s="223"/>
      <c r="CM333" s="223"/>
      <c r="CN333" s="14"/>
      <c r="CO333" s="14"/>
      <c r="CP333" s="14"/>
      <c r="CQ333" s="14"/>
      <c r="CR333" s="14"/>
      <c r="CS333" s="14"/>
      <c r="CT333" s="14"/>
      <c r="CU333" s="14"/>
    </row>
    <row r="334" spans="1:99" s="106" customFormat="1" x14ac:dyDescent="0.25">
      <c r="A334" s="240">
        <v>41334</v>
      </c>
      <c r="B334" s="240"/>
      <c r="C334" s="26" t="s">
        <v>1975</v>
      </c>
      <c r="D334" s="232" t="s">
        <v>54</v>
      </c>
      <c r="E334" s="223"/>
      <c r="F334" s="263"/>
      <c r="G334" s="406"/>
      <c r="H334" s="406"/>
      <c r="I334" s="406"/>
      <c r="J334" s="223"/>
      <c r="K334" s="223"/>
      <c r="L334" s="223"/>
      <c r="M334" s="223"/>
      <c r="N334" s="223"/>
      <c r="O334" s="223"/>
      <c r="P334" s="223"/>
      <c r="Q334" s="223"/>
      <c r="R334" s="223"/>
      <c r="S334" s="223"/>
      <c r="T334" s="223"/>
      <c r="U334" s="223"/>
      <c r="V334" s="223"/>
      <c r="W334" s="223"/>
      <c r="X334" s="223"/>
      <c r="Y334" s="223"/>
      <c r="Z334" s="223"/>
      <c r="AA334" s="223"/>
      <c r="AB334" s="223"/>
      <c r="AC334" s="223"/>
      <c r="AD334" s="223"/>
      <c r="AE334" s="223"/>
      <c r="AF334" s="223"/>
      <c r="AG334" s="223"/>
      <c r="AH334" s="223"/>
      <c r="AI334" s="223"/>
      <c r="AJ334" s="223"/>
      <c r="AK334" s="223"/>
      <c r="AL334" s="223"/>
      <c r="AM334" s="223"/>
      <c r="AN334" s="223"/>
      <c r="AO334" s="223"/>
      <c r="AP334" s="223"/>
      <c r="AQ334" s="223"/>
      <c r="AR334" s="223"/>
      <c r="AS334" s="223"/>
      <c r="AT334" s="223"/>
      <c r="AU334" s="223"/>
      <c r="AV334" s="223"/>
      <c r="AW334" s="223"/>
      <c r="AX334" s="223"/>
      <c r="AY334" s="223"/>
      <c r="AZ334" s="223"/>
      <c r="BA334" s="223"/>
      <c r="BB334" s="223"/>
      <c r="BC334" s="223"/>
      <c r="BD334" s="223"/>
      <c r="BE334" s="223"/>
      <c r="BF334" s="223"/>
      <c r="BG334" s="223"/>
      <c r="BH334" s="223"/>
      <c r="BI334" s="223"/>
      <c r="BJ334" s="223"/>
      <c r="BK334" s="119">
        <v>14.71</v>
      </c>
      <c r="BL334" s="223"/>
      <c r="BM334" s="223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  <c r="CG334" s="223"/>
      <c r="CH334" s="223"/>
      <c r="CI334" s="223"/>
      <c r="CJ334" s="223"/>
      <c r="CK334" s="223"/>
      <c r="CL334" s="223"/>
      <c r="CM334" s="223"/>
      <c r="CN334" s="14"/>
      <c r="CO334" s="14"/>
      <c r="CP334" s="14"/>
      <c r="CQ334" s="14"/>
      <c r="CR334" s="14"/>
      <c r="CS334" s="14"/>
      <c r="CT334" s="14"/>
      <c r="CU334" s="14"/>
    </row>
    <row r="335" spans="1:99" s="106" customFormat="1" x14ac:dyDescent="0.25">
      <c r="A335" s="240">
        <v>41334</v>
      </c>
      <c r="B335" s="240"/>
      <c r="C335" s="26" t="s">
        <v>1976</v>
      </c>
      <c r="D335" s="232" t="s">
        <v>54</v>
      </c>
      <c r="E335" s="223" t="s">
        <v>72</v>
      </c>
      <c r="F335" s="263"/>
      <c r="G335" s="406"/>
      <c r="H335" s="406"/>
      <c r="I335" s="406"/>
      <c r="J335" s="223"/>
      <c r="K335" s="223"/>
      <c r="L335" s="223"/>
      <c r="M335" s="223"/>
      <c r="N335" s="223"/>
      <c r="O335" s="223"/>
      <c r="P335" s="223"/>
      <c r="Q335" s="223"/>
      <c r="R335" s="223"/>
      <c r="S335" s="223"/>
      <c r="T335" s="223"/>
      <c r="U335" s="223"/>
      <c r="V335" s="223"/>
      <c r="W335" s="223"/>
      <c r="X335" s="223"/>
      <c r="Y335" s="223"/>
      <c r="Z335" s="223"/>
      <c r="AA335" s="223"/>
      <c r="AB335" s="223"/>
      <c r="AC335" s="223"/>
      <c r="AD335" s="223"/>
      <c r="AE335" s="223"/>
      <c r="AF335" s="223"/>
      <c r="AG335" s="223"/>
      <c r="AH335" s="223"/>
      <c r="AI335" s="223"/>
      <c r="AJ335" s="223"/>
      <c r="AK335" s="223"/>
      <c r="AL335" s="223"/>
      <c r="AM335" s="223"/>
      <c r="AN335" s="223"/>
      <c r="AO335" s="223"/>
      <c r="AP335" s="223"/>
      <c r="AQ335" s="223"/>
      <c r="AR335" s="223"/>
      <c r="AS335" s="223"/>
      <c r="AT335" s="223"/>
      <c r="AU335" s="223"/>
      <c r="AV335" s="223"/>
      <c r="AW335" s="223"/>
      <c r="AX335" s="223"/>
      <c r="AY335" s="223"/>
      <c r="AZ335" s="223"/>
      <c r="BA335" s="223"/>
      <c r="BB335" s="223"/>
      <c r="BC335" s="223"/>
      <c r="BD335" s="223"/>
      <c r="BE335" s="223"/>
      <c r="BF335" s="223"/>
      <c r="BG335" s="223"/>
      <c r="BH335" s="223"/>
      <c r="BI335" s="223"/>
      <c r="BJ335" s="223"/>
      <c r="BK335" s="119">
        <v>29.57</v>
      </c>
      <c r="BL335" s="223"/>
      <c r="BM335" s="223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  <c r="CG335" s="223"/>
      <c r="CH335" s="223"/>
      <c r="CI335" s="223"/>
      <c r="CJ335" s="223"/>
      <c r="CK335" s="223"/>
      <c r="CL335" s="223"/>
      <c r="CM335" s="223"/>
      <c r="CN335" s="14"/>
      <c r="CO335" s="14"/>
      <c r="CP335" s="14"/>
      <c r="CQ335" s="14"/>
      <c r="CR335" s="14"/>
      <c r="CS335" s="14"/>
      <c r="CT335" s="14"/>
      <c r="CU335" s="14"/>
    </row>
    <row r="336" spans="1:99" s="106" customFormat="1" x14ac:dyDescent="0.25">
      <c r="A336" s="240">
        <v>41334</v>
      </c>
      <c r="B336" s="240"/>
      <c r="C336" s="25" t="s">
        <v>1977</v>
      </c>
      <c r="D336" s="232" t="s">
        <v>54</v>
      </c>
      <c r="E336" s="223"/>
      <c r="F336" s="263"/>
      <c r="G336" s="406"/>
      <c r="H336" s="406"/>
      <c r="I336" s="406"/>
      <c r="J336" s="223"/>
      <c r="K336" s="223"/>
      <c r="L336" s="223"/>
      <c r="M336" s="223"/>
      <c r="N336" s="223"/>
      <c r="O336" s="223"/>
      <c r="P336" s="223"/>
      <c r="Q336" s="223"/>
      <c r="R336" s="223"/>
      <c r="S336" s="223"/>
      <c r="T336" s="223"/>
      <c r="U336" s="223"/>
      <c r="V336" s="223"/>
      <c r="W336" s="223"/>
      <c r="X336" s="223"/>
      <c r="Y336" s="223"/>
      <c r="Z336" s="223"/>
      <c r="AA336" s="223"/>
      <c r="AB336" s="223"/>
      <c r="AC336" s="223"/>
      <c r="AD336" s="223"/>
      <c r="AE336" s="223"/>
      <c r="AF336" s="223"/>
      <c r="AG336" s="223"/>
      <c r="AH336" s="223"/>
      <c r="AI336" s="223"/>
      <c r="AJ336" s="223"/>
      <c r="AK336" s="223"/>
      <c r="AL336" s="223"/>
      <c r="AM336" s="223"/>
      <c r="AN336" s="223"/>
      <c r="AO336" s="223"/>
      <c r="AP336" s="223"/>
      <c r="AQ336" s="223"/>
      <c r="AR336" s="223"/>
      <c r="AS336" s="223"/>
      <c r="AT336" s="223"/>
      <c r="AU336" s="223"/>
      <c r="AV336" s="223"/>
      <c r="AW336" s="223"/>
      <c r="AX336" s="223"/>
      <c r="AY336" s="223"/>
      <c r="AZ336" s="223"/>
      <c r="BA336" s="223"/>
      <c r="BB336" s="223"/>
      <c r="BC336" s="223"/>
      <c r="BD336" s="223"/>
      <c r="BE336" s="223"/>
      <c r="BF336" s="223"/>
      <c r="BG336" s="223"/>
      <c r="BH336" s="223"/>
      <c r="BI336" s="223"/>
      <c r="BJ336" s="223"/>
      <c r="BK336" s="119">
        <v>43.8</v>
      </c>
      <c r="BL336" s="223"/>
      <c r="BM336" s="223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  <c r="CG336" s="223"/>
      <c r="CH336" s="223"/>
      <c r="CI336" s="223"/>
      <c r="CJ336" s="223"/>
      <c r="CK336" s="223"/>
      <c r="CL336" s="223"/>
      <c r="CM336" s="223"/>
      <c r="CN336" s="14"/>
      <c r="CO336" s="14"/>
      <c r="CP336" s="14"/>
      <c r="CQ336" s="14"/>
      <c r="CR336" s="14"/>
      <c r="CS336" s="14"/>
      <c r="CT336" s="14"/>
      <c r="CU336" s="14"/>
    </row>
    <row r="337" spans="1:99" s="106" customFormat="1" x14ac:dyDescent="0.25">
      <c r="A337" s="263" t="s">
        <v>1978</v>
      </c>
      <c r="B337" s="263"/>
      <c r="C337" s="273" t="s">
        <v>1979</v>
      </c>
      <c r="D337" s="232" t="s">
        <v>54</v>
      </c>
      <c r="E337" s="223" t="s">
        <v>72</v>
      </c>
      <c r="F337" s="263"/>
      <c r="G337" s="406"/>
      <c r="H337" s="406"/>
      <c r="I337" s="406"/>
      <c r="J337" s="223"/>
      <c r="K337" s="223"/>
      <c r="L337" s="223"/>
      <c r="M337" s="223"/>
      <c r="N337" s="223"/>
      <c r="O337" s="223"/>
      <c r="P337" s="223"/>
      <c r="Q337" s="223"/>
      <c r="R337" s="223"/>
      <c r="S337" s="223"/>
      <c r="T337" s="223"/>
      <c r="U337" s="223"/>
      <c r="V337" s="223"/>
      <c r="W337" s="223"/>
      <c r="X337" s="223"/>
      <c r="Y337" s="223"/>
      <c r="Z337" s="223"/>
      <c r="AA337" s="223"/>
      <c r="AB337" s="223"/>
      <c r="AC337" s="223"/>
      <c r="AD337" s="223"/>
      <c r="AE337" s="223"/>
      <c r="AF337" s="223"/>
      <c r="AG337" s="223"/>
      <c r="AH337" s="223"/>
      <c r="AI337" s="223"/>
      <c r="AJ337" s="223"/>
      <c r="AK337" s="223"/>
      <c r="AL337" s="223"/>
      <c r="AM337" s="223"/>
      <c r="AN337" s="223"/>
      <c r="AO337" s="223"/>
      <c r="AP337" s="223"/>
      <c r="AQ337" s="223"/>
      <c r="AR337" s="223"/>
      <c r="AS337" s="223"/>
      <c r="AT337" s="223"/>
      <c r="AU337" s="223"/>
      <c r="AV337" s="223"/>
      <c r="AW337" s="223"/>
      <c r="AX337" s="223"/>
      <c r="AY337" s="223"/>
      <c r="AZ337" s="223"/>
      <c r="BA337" s="223"/>
      <c r="BB337" s="223"/>
      <c r="BC337" s="223"/>
      <c r="BD337" s="223"/>
      <c r="BE337" s="223"/>
      <c r="BF337" s="223"/>
      <c r="BG337" s="223"/>
      <c r="BH337" s="223"/>
      <c r="BI337" s="223"/>
      <c r="BJ337" s="223"/>
      <c r="BK337" s="119">
        <v>109.5</v>
      </c>
      <c r="BL337" s="223"/>
      <c r="BM337" s="223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  <c r="CG337" s="223"/>
      <c r="CH337" s="223"/>
      <c r="CI337" s="223"/>
      <c r="CJ337" s="223"/>
      <c r="CK337" s="223"/>
      <c r="CL337" s="223"/>
      <c r="CM337" s="223"/>
      <c r="CN337" s="14"/>
      <c r="CO337" s="14"/>
      <c r="CP337" s="14"/>
      <c r="CQ337" s="14"/>
      <c r="CR337" s="14"/>
      <c r="CS337" s="14"/>
      <c r="CT337" s="14"/>
      <c r="CU337" s="14"/>
    </row>
    <row r="338" spans="1:99" s="106" customFormat="1" x14ac:dyDescent="0.25">
      <c r="A338" s="263" t="s">
        <v>1978</v>
      </c>
      <c r="B338" s="263"/>
      <c r="C338" s="273" t="s">
        <v>1980</v>
      </c>
      <c r="D338" s="232" t="s">
        <v>54</v>
      </c>
      <c r="E338" s="223" t="s">
        <v>72</v>
      </c>
      <c r="F338" s="263"/>
      <c r="G338" s="406"/>
      <c r="H338" s="406"/>
      <c r="I338" s="406"/>
      <c r="J338" s="223"/>
      <c r="K338" s="223"/>
      <c r="L338" s="223"/>
      <c r="M338" s="223"/>
      <c r="N338" s="223"/>
      <c r="O338" s="223"/>
      <c r="P338" s="223"/>
      <c r="Q338" s="223"/>
      <c r="R338" s="223"/>
      <c r="S338" s="223"/>
      <c r="T338" s="223"/>
      <c r="U338" s="223"/>
      <c r="V338" s="223"/>
      <c r="W338" s="223"/>
      <c r="X338" s="223"/>
      <c r="Y338" s="223"/>
      <c r="Z338" s="223"/>
      <c r="AA338" s="223"/>
      <c r="AB338" s="223"/>
      <c r="AC338" s="223"/>
      <c r="AD338" s="223"/>
      <c r="AE338" s="223"/>
      <c r="AF338" s="223"/>
      <c r="AG338" s="223"/>
      <c r="AH338" s="223"/>
      <c r="AI338" s="223"/>
      <c r="AJ338" s="223"/>
      <c r="AK338" s="223"/>
      <c r="AL338" s="223"/>
      <c r="AM338" s="223"/>
      <c r="AN338" s="223"/>
      <c r="AO338" s="223"/>
      <c r="AP338" s="223"/>
      <c r="AQ338" s="223"/>
      <c r="AR338" s="223"/>
      <c r="AS338" s="223"/>
      <c r="AT338" s="223"/>
      <c r="AU338" s="223"/>
      <c r="AV338" s="223"/>
      <c r="AW338" s="223"/>
      <c r="AX338" s="223"/>
      <c r="AY338" s="223"/>
      <c r="AZ338" s="223"/>
      <c r="BA338" s="223"/>
      <c r="BB338" s="223"/>
      <c r="BC338" s="223"/>
      <c r="BD338" s="223"/>
      <c r="BE338" s="223"/>
      <c r="BF338" s="223"/>
      <c r="BG338" s="223"/>
      <c r="BH338" s="223"/>
      <c r="BI338" s="223"/>
      <c r="BJ338" s="223"/>
      <c r="BK338" s="119">
        <v>48.26</v>
      </c>
      <c r="BL338" s="223"/>
      <c r="BM338" s="223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  <c r="CG338" s="223"/>
      <c r="CH338" s="223"/>
      <c r="CI338" s="223"/>
      <c r="CJ338" s="223"/>
      <c r="CK338" s="223"/>
      <c r="CL338" s="223"/>
      <c r="CM338" s="223"/>
      <c r="CN338" s="14"/>
      <c r="CO338" s="14"/>
      <c r="CP338" s="14"/>
      <c r="CQ338" s="14"/>
      <c r="CR338" s="14"/>
      <c r="CS338" s="14"/>
      <c r="CT338" s="14"/>
      <c r="CU338" s="14"/>
    </row>
    <row r="339" spans="1:99" s="106" customFormat="1" x14ac:dyDescent="0.25">
      <c r="A339" s="263" t="s">
        <v>1978</v>
      </c>
      <c r="B339" s="263"/>
      <c r="C339" s="224" t="s">
        <v>1981</v>
      </c>
      <c r="D339" s="232" t="s">
        <v>54</v>
      </c>
      <c r="E339" s="223" t="s">
        <v>72</v>
      </c>
      <c r="F339" s="263"/>
      <c r="G339" s="406"/>
      <c r="H339" s="406"/>
      <c r="I339" s="406"/>
      <c r="J339" s="223"/>
      <c r="K339" s="223"/>
      <c r="L339" s="223"/>
      <c r="M339" s="223"/>
      <c r="N339" s="223"/>
      <c r="O339" s="223"/>
      <c r="P339" s="223"/>
      <c r="Q339" s="223"/>
      <c r="R339" s="223"/>
      <c r="S339" s="223"/>
      <c r="T339" s="223"/>
      <c r="U339" s="223"/>
      <c r="V339" s="223"/>
      <c r="W339" s="223"/>
      <c r="X339" s="223"/>
      <c r="Y339" s="223"/>
      <c r="Z339" s="223"/>
      <c r="AA339" s="223"/>
      <c r="AB339" s="223"/>
      <c r="AC339" s="223"/>
      <c r="AD339" s="223"/>
      <c r="AE339" s="223"/>
      <c r="AF339" s="223"/>
      <c r="AG339" s="223"/>
      <c r="AH339" s="223"/>
      <c r="AI339" s="223"/>
      <c r="AJ339" s="223"/>
      <c r="AK339" s="223"/>
      <c r="AL339" s="223"/>
      <c r="AM339" s="223"/>
      <c r="AN339" s="223"/>
      <c r="AO339" s="223"/>
      <c r="AP339" s="223"/>
      <c r="AQ339" s="223"/>
      <c r="AR339" s="223"/>
      <c r="AS339" s="223"/>
      <c r="AT339" s="223"/>
      <c r="AU339" s="223"/>
      <c r="AV339" s="223"/>
      <c r="AW339" s="223"/>
      <c r="AX339" s="223"/>
      <c r="AY339" s="223"/>
      <c r="AZ339" s="223"/>
      <c r="BA339" s="223"/>
      <c r="BB339" s="223"/>
      <c r="BC339" s="223"/>
      <c r="BD339" s="223"/>
      <c r="BE339" s="223"/>
      <c r="BF339" s="223"/>
      <c r="BG339" s="223"/>
      <c r="BH339" s="223"/>
      <c r="BI339" s="223"/>
      <c r="BJ339" s="223"/>
      <c r="BK339" s="119">
        <v>91.12</v>
      </c>
      <c r="BL339" s="223"/>
      <c r="BM339" s="223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  <c r="CG339" s="223"/>
      <c r="CH339" s="223"/>
      <c r="CI339" s="223"/>
      <c r="CJ339" s="223"/>
      <c r="CK339" s="223"/>
      <c r="CL339" s="223"/>
      <c r="CM339" s="223"/>
      <c r="CN339" s="14"/>
      <c r="CO339" s="14"/>
      <c r="CP339" s="14"/>
      <c r="CQ339" s="14"/>
      <c r="CR339" s="14"/>
      <c r="CS339" s="14"/>
      <c r="CT339" s="14"/>
      <c r="CU339" s="14"/>
    </row>
    <row r="340" spans="1:99" s="106" customFormat="1" x14ac:dyDescent="0.25">
      <c r="A340" s="263" t="s">
        <v>1978</v>
      </c>
      <c r="B340" s="263"/>
      <c r="C340" s="224" t="s">
        <v>1982</v>
      </c>
      <c r="D340" s="232" t="s">
        <v>54</v>
      </c>
      <c r="E340" s="223" t="s">
        <v>72</v>
      </c>
      <c r="F340" s="263"/>
      <c r="G340" s="406"/>
      <c r="H340" s="406"/>
      <c r="I340" s="406"/>
      <c r="J340" s="223"/>
      <c r="K340" s="223"/>
      <c r="L340" s="223"/>
      <c r="M340" s="223"/>
      <c r="N340" s="223"/>
      <c r="O340" s="223"/>
      <c r="P340" s="223"/>
      <c r="Q340" s="223"/>
      <c r="R340" s="223"/>
      <c r="S340" s="223"/>
      <c r="T340" s="223"/>
      <c r="U340" s="223"/>
      <c r="V340" s="223"/>
      <c r="W340" s="223"/>
      <c r="X340" s="223"/>
      <c r="Y340" s="223"/>
      <c r="Z340" s="223"/>
      <c r="AA340" s="223"/>
      <c r="AB340" s="223"/>
      <c r="AC340" s="223"/>
      <c r="AD340" s="223"/>
      <c r="AE340" s="223"/>
      <c r="AF340" s="223"/>
      <c r="AG340" s="223"/>
      <c r="AH340" s="223"/>
      <c r="AI340" s="223"/>
      <c r="AJ340" s="223"/>
      <c r="AK340" s="223"/>
      <c r="AL340" s="223"/>
      <c r="AM340" s="223"/>
      <c r="AN340" s="223"/>
      <c r="AO340" s="223"/>
      <c r="AP340" s="223"/>
      <c r="AQ340" s="223"/>
      <c r="AR340" s="223"/>
      <c r="AS340" s="223"/>
      <c r="AT340" s="223"/>
      <c r="AU340" s="223"/>
      <c r="AV340" s="223"/>
      <c r="AW340" s="223"/>
      <c r="AX340" s="223"/>
      <c r="AY340" s="223"/>
      <c r="AZ340" s="223"/>
      <c r="BA340" s="223"/>
      <c r="BB340" s="223"/>
      <c r="BC340" s="223"/>
      <c r="BD340" s="223"/>
      <c r="BE340" s="223"/>
      <c r="BF340" s="223"/>
      <c r="BG340" s="223"/>
      <c r="BH340" s="223"/>
      <c r="BI340" s="223"/>
      <c r="BJ340" s="223"/>
      <c r="BK340" s="119">
        <v>66.39</v>
      </c>
      <c r="BL340" s="223"/>
      <c r="BM340" s="223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  <c r="CG340" s="223"/>
      <c r="CH340" s="223"/>
      <c r="CI340" s="223"/>
      <c r="CJ340" s="223"/>
      <c r="CK340" s="223"/>
      <c r="CL340" s="223"/>
      <c r="CM340" s="223"/>
      <c r="CN340" s="14"/>
      <c r="CO340" s="14"/>
      <c r="CP340" s="14"/>
      <c r="CQ340" s="14"/>
      <c r="CR340" s="14"/>
      <c r="CS340" s="14"/>
      <c r="CT340" s="14"/>
      <c r="CU340" s="14"/>
    </row>
    <row r="341" spans="1:99" s="106" customFormat="1" x14ac:dyDescent="0.25">
      <c r="A341" s="263" t="s">
        <v>1978</v>
      </c>
      <c r="B341" s="263"/>
      <c r="C341" s="273" t="s">
        <v>1983</v>
      </c>
      <c r="D341" s="232" t="s">
        <v>54</v>
      </c>
      <c r="E341" s="223" t="s">
        <v>59</v>
      </c>
      <c r="F341" s="263"/>
      <c r="G341" s="406"/>
      <c r="H341" s="406"/>
      <c r="I341" s="406"/>
      <c r="J341" s="223"/>
      <c r="K341" s="223"/>
      <c r="L341" s="223"/>
      <c r="M341" s="223"/>
      <c r="N341" s="223"/>
      <c r="O341" s="223"/>
      <c r="P341" s="223"/>
      <c r="Q341" s="223"/>
      <c r="R341" s="223"/>
      <c r="S341" s="223"/>
      <c r="T341" s="223"/>
      <c r="U341" s="223"/>
      <c r="V341" s="223"/>
      <c r="W341" s="223"/>
      <c r="X341" s="223"/>
      <c r="Y341" s="223"/>
      <c r="Z341" s="223"/>
      <c r="AA341" s="223"/>
      <c r="AB341" s="223"/>
      <c r="AC341" s="223"/>
      <c r="AD341" s="223"/>
      <c r="AE341" s="223"/>
      <c r="AF341" s="223"/>
      <c r="AG341" s="223"/>
      <c r="AH341" s="223"/>
      <c r="AI341" s="223"/>
      <c r="AJ341" s="223"/>
      <c r="AK341" s="223"/>
      <c r="AL341" s="223"/>
      <c r="AM341" s="223"/>
      <c r="AN341" s="223"/>
      <c r="AO341" s="223"/>
      <c r="AP341" s="223"/>
      <c r="AQ341" s="223"/>
      <c r="AR341" s="223"/>
      <c r="AS341" s="223"/>
      <c r="AT341" s="223"/>
      <c r="AU341" s="223"/>
      <c r="AV341" s="223"/>
      <c r="AW341" s="223"/>
      <c r="AX341" s="223"/>
      <c r="AY341" s="223"/>
      <c r="AZ341" s="223"/>
      <c r="BA341" s="223"/>
      <c r="BB341" s="223"/>
      <c r="BC341" s="223"/>
      <c r="BD341" s="223"/>
      <c r="BE341" s="223"/>
      <c r="BF341" s="223"/>
      <c r="BG341" s="223"/>
      <c r="BH341" s="223"/>
      <c r="BI341" s="223"/>
      <c r="BJ341" s="223"/>
      <c r="BK341" s="119">
        <v>31.38</v>
      </c>
      <c r="BL341" s="223"/>
      <c r="BM341" s="223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  <c r="CG341" s="223"/>
      <c r="CH341" s="223"/>
      <c r="CI341" s="223"/>
      <c r="CJ341" s="223"/>
      <c r="CK341" s="223"/>
      <c r="CL341" s="223"/>
      <c r="CM341" s="223"/>
      <c r="CN341" s="14"/>
      <c r="CO341" s="14"/>
      <c r="CP341" s="14"/>
      <c r="CQ341" s="14"/>
      <c r="CR341" s="14"/>
      <c r="CS341" s="14"/>
      <c r="CT341" s="14"/>
      <c r="CU341" s="14"/>
    </row>
    <row r="342" spans="1:99" s="106" customFormat="1" x14ac:dyDescent="0.25">
      <c r="A342" s="263" t="s">
        <v>1978</v>
      </c>
      <c r="B342" s="263"/>
      <c r="C342" s="227" t="s">
        <v>1984</v>
      </c>
      <c r="D342" s="232" t="s">
        <v>54</v>
      </c>
      <c r="E342" s="223" t="s">
        <v>59</v>
      </c>
      <c r="F342" s="263"/>
      <c r="G342" s="406"/>
      <c r="H342" s="406"/>
      <c r="I342" s="406"/>
      <c r="J342" s="223"/>
      <c r="K342" s="223"/>
      <c r="L342" s="223"/>
      <c r="M342" s="223"/>
      <c r="N342" s="223"/>
      <c r="O342" s="223"/>
      <c r="P342" s="223"/>
      <c r="Q342" s="223"/>
      <c r="R342" s="223"/>
      <c r="S342" s="223"/>
      <c r="T342" s="223"/>
      <c r="U342" s="223"/>
      <c r="V342" s="223"/>
      <c r="W342" s="223"/>
      <c r="X342" s="223"/>
      <c r="Y342" s="223"/>
      <c r="Z342" s="223"/>
      <c r="AA342" s="223"/>
      <c r="AB342" s="223"/>
      <c r="AC342" s="223"/>
      <c r="AD342" s="223"/>
      <c r="AE342" s="223"/>
      <c r="AF342" s="223"/>
      <c r="AG342" s="223"/>
      <c r="AH342" s="223"/>
      <c r="AI342" s="223"/>
      <c r="AJ342" s="223"/>
      <c r="AK342" s="223"/>
      <c r="AL342" s="223"/>
      <c r="AM342" s="223"/>
      <c r="AN342" s="223"/>
      <c r="AO342" s="223"/>
      <c r="AP342" s="223"/>
      <c r="AQ342" s="223"/>
      <c r="AR342" s="223"/>
      <c r="AS342" s="223"/>
      <c r="AT342" s="223"/>
      <c r="AU342" s="223"/>
      <c r="AV342" s="223"/>
      <c r="AW342" s="223"/>
      <c r="AX342" s="223"/>
      <c r="AY342" s="223"/>
      <c r="AZ342" s="223"/>
      <c r="BA342" s="223"/>
      <c r="BB342" s="223"/>
      <c r="BC342" s="223"/>
      <c r="BD342" s="223"/>
      <c r="BE342" s="223"/>
      <c r="BF342" s="223"/>
      <c r="BG342" s="223"/>
      <c r="BH342" s="223"/>
      <c r="BI342" s="223"/>
      <c r="BJ342" s="223"/>
      <c r="BK342" s="119">
        <v>41.94</v>
      </c>
      <c r="BL342" s="223"/>
      <c r="BM342" s="223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  <c r="CG342" s="223"/>
      <c r="CH342" s="223"/>
      <c r="CI342" s="223"/>
      <c r="CJ342" s="223"/>
      <c r="CK342" s="223"/>
      <c r="CL342" s="223"/>
      <c r="CM342" s="223"/>
      <c r="CN342" s="14"/>
      <c r="CO342" s="14"/>
      <c r="CP342" s="14"/>
      <c r="CQ342" s="14"/>
      <c r="CR342" s="14"/>
      <c r="CS342" s="14"/>
      <c r="CT342" s="14"/>
      <c r="CU342" s="14"/>
    </row>
    <row r="343" spans="1:99" s="106" customFormat="1" x14ac:dyDescent="0.25">
      <c r="A343" s="263" t="s">
        <v>1978</v>
      </c>
      <c r="B343" s="263"/>
      <c r="C343" s="224" t="s">
        <v>1985</v>
      </c>
      <c r="D343" s="232" t="s">
        <v>54</v>
      </c>
      <c r="E343" s="223" t="s">
        <v>59</v>
      </c>
      <c r="F343" s="263"/>
      <c r="G343" s="406"/>
      <c r="H343" s="406"/>
      <c r="I343" s="406"/>
      <c r="J343" s="223"/>
      <c r="K343" s="223"/>
      <c r="L343" s="223"/>
      <c r="M343" s="223"/>
      <c r="N343" s="223"/>
      <c r="O343" s="223"/>
      <c r="P343" s="223"/>
      <c r="Q343" s="223"/>
      <c r="R343" s="223"/>
      <c r="S343" s="223"/>
      <c r="T343" s="223"/>
      <c r="U343" s="223"/>
      <c r="V343" s="223"/>
      <c r="W343" s="223"/>
      <c r="X343" s="223"/>
      <c r="Y343" s="223"/>
      <c r="Z343" s="223"/>
      <c r="AA343" s="223"/>
      <c r="AB343" s="223"/>
      <c r="AC343" s="223"/>
      <c r="AD343" s="223"/>
      <c r="AE343" s="223"/>
      <c r="AF343" s="223"/>
      <c r="AG343" s="223"/>
      <c r="AH343" s="223"/>
      <c r="AI343" s="223"/>
      <c r="AJ343" s="223"/>
      <c r="AK343" s="223"/>
      <c r="AL343" s="223"/>
      <c r="AM343" s="223"/>
      <c r="AN343" s="223"/>
      <c r="AO343" s="223"/>
      <c r="AP343" s="223"/>
      <c r="AQ343" s="223"/>
      <c r="AR343" s="223"/>
      <c r="AS343" s="223"/>
      <c r="AT343" s="223"/>
      <c r="AU343" s="223"/>
      <c r="AV343" s="223"/>
      <c r="AW343" s="223"/>
      <c r="AX343" s="223"/>
      <c r="AY343" s="223"/>
      <c r="AZ343" s="223"/>
      <c r="BA343" s="223"/>
      <c r="BB343" s="223"/>
      <c r="BC343" s="223"/>
      <c r="BD343" s="223"/>
      <c r="BE343" s="223"/>
      <c r="BF343" s="223"/>
      <c r="BG343" s="223"/>
      <c r="BH343" s="223"/>
      <c r="BI343" s="223"/>
      <c r="BJ343" s="223"/>
      <c r="BK343" s="119">
        <v>55.1</v>
      </c>
      <c r="BL343" s="223"/>
      <c r="BM343" s="223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  <c r="CG343" s="223"/>
      <c r="CH343" s="223"/>
      <c r="CI343" s="223"/>
      <c r="CJ343" s="223"/>
      <c r="CK343" s="223"/>
      <c r="CL343" s="223"/>
      <c r="CM343" s="223"/>
      <c r="CN343" s="14"/>
      <c r="CO343" s="14"/>
      <c r="CP343" s="14"/>
      <c r="CQ343" s="14"/>
      <c r="CR343" s="14"/>
      <c r="CS343" s="14"/>
      <c r="CT343" s="14"/>
      <c r="CU343" s="14"/>
    </row>
    <row r="344" spans="1:99" s="106" customFormat="1" x14ac:dyDescent="0.25">
      <c r="A344" s="263" t="s">
        <v>1978</v>
      </c>
      <c r="B344" s="263"/>
      <c r="C344" s="224" t="s">
        <v>1986</v>
      </c>
      <c r="D344" s="232" t="s">
        <v>54</v>
      </c>
      <c r="E344" s="223" t="s">
        <v>59</v>
      </c>
      <c r="F344" s="263"/>
      <c r="G344" s="406"/>
      <c r="H344" s="406"/>
      <c r="I344" s="406"/>
      <c r="J344" s="223"/>
      <c r="K344" s="223"/>
      <c r="L344" s="223"/>
      <c r="M344" s="223"/>
      <c r="N344" s="223"/>
      <c r="O344" s="223"/>
      <c r="P344" s="223"/>
      <c r="Q344" s="223"/>
      <c r="R344" s="223"/>
      <c r="S344" s="223"/>
      <c r="T344" s="223"/>
      <c r="U344" s="223"/>
      <c r="V344" s="223"/>
      <c r="W344" s="223"/>
      <c r="X344" s="223"/>
      <c r="Y344" s="223"/>
      <c r="Z344" s="223"/>
      <c r="AA344" s="223"/>
      <c r="AB344" s="223"/>
      <c r="AC344" s="223"/>
      <c r="AD344" s="223"/>
      <c r="AE344" s="223"/>
      <c r="AF344" s="223"/>
      <c r="AG344" s="223"/>
      <c r="AH344" s="223"/>
      <c r="AI344" s="223"/>
      <c r="AJ344" s="223"/>
      <c r="AK344" s="223"/>
      <c r="AL344" s="223"/>
      <c r="AM344" s="223"/>
      <c r="AN344" s="223"/>
      <c r="AO344" s="223"/>
      <c r="AP344" s="223"/>
      <c r="AQ344" s="223"/>
      <c r="AR344" s="223"/>
      <c r="AS344" s="223"/>
      <c r="AT344" s="223"/>
      <c r="AU344" s="223"/>
      <c r="AV344" s="223"/>
      <c r="AW344" s="223"/>
      <c r="AX344" s="223"/>
      <c r="AY344" s="223"/>
      <c r="AZ344" s="223"/>
      <c r="BA344" s="223"/>
      <c r="BB344" s="223"/>
      <c r="BC344" s="223"/>
      <c r="BD344" s="223"/>
      <c r="BE344" s="223"/>
      <c r="BF344" s="223"/>
      <c r="BG344" s="223"/>
      <c r="BH344" s="223"/>
      <c r="BI344" s="223"/>
      <c r="BJ344" s="223"/>
      <c r="BK344" s="119">
        <v>27.84</v>
      </c>
      <c r="BL344" s="223"/>
      <c r="BM344" s="223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  <c r="CG344" s="223"/>
      <c r="CH344" s="223"/>
      <c r="CI344" s="223"/>
      <c r="CJ344" s="223"/>
      <c r="CK344" s="223"/>
      <c r="CL344" s="223"/>
      <c r="CM344" s="223"/>
      <c r="CN344" s="14"/>
      <c r="CO344" s="14"/>
      <c r="CP344" s="14"/>
      <c r="CQ344" s="14"/>
      <c r="CR344" s="14"/>
      <c r="CS344" s="14"/>
      <c r="CT344" s="14"/>
      <c r="CU344" s="14"/>
    </row>
    <row r="345" spans="1:99" s="106" customFormat="1" x14ac:dyDescent="0.25">
      <c r="A345" s="263" t="s">
        <v>1978</v>
      </c>
      <c r="B345" s="263"/>
      <c r="C345" s="224" t="s">
        <v>1987</v>
      </c>
      <c r="D345" s="232" t="s">
        <v>54</v>
      </c>
      <c r="E345" s="223" t="s">
        <v>59</v>
      </c>
      <c r="F345" s="263"/>
      <c r="G345" s="406"/>
      <c r="H345" s="406"/>
      <c r="I345" s="406"/>
      <c r="J345" s="223"/>
      <c r="K345" s="223"/>
      <c r="L345" s="223"/>
      <c r="M345" s="223"/>
      <c r="N345" s="223"/>
      <c r="O345" s="223"/>
      <c r="P345" s="223"/>
      <c r="Q345" s="223"/>
      <c r="R345" s="223"/>
      <c r="S345" s="223"/>
      <c r="T345" s="223"/>
      <c r="U345" s="223"/>
      <c r="V345" s="223"/>
      <c r="W345" s="223"/>
      <c r="X345" s="223"/>
      <c r="Y345" s="223"/>
      <c r="Z345" s="223"/>
      <c r="AA345" s="223"/>
      <c r="AB345" s="223"/>
      <c r="AC345" s="223"/>
      <c r="AD345" s="223"/>
      <c r="AE345" s="223"/>
      <c r="AF345" s="223"/>
      <c r="AG345" s="223"/>
      <c r="AH345" s="223"/>
      <c r="AI345" s="223"/>
      <c r="AJ345" s="223"/>
      <c r="AK345" s="223"/>
      <c r="AL345" s="223"/>
      <c r="AM345" s="223"/>
      <c r="AN345" s="223"/>
      <c r="AO345" s="223"/>
      <c r="AP345" s="223"/>
      <c r="AQ345" s="223"/>
      <c r="AR345" s="223"/>
      <c r="AS345" s="223"/>
      <c r="AT345" s="223"/>
      <c r="AU345" s="223"/>
      <c r="AV345" s="223"/>
      <c r="AW345" s="223"/>
      <c r="AX345" s="223"/>
      <c r="AY345" s="223"/>
      <c r="AZ345" s="223"/>
      <c r="BA345" s="223"/>
      <c r="BB345" s="223"/>
      <c r="BC345" s="223"/>
      <c r="BD345" s="223"/>
      <c r="BE345" s="223"/>
      <c r="BF345" s="223"/>
      <c r="BG345" s="223"/>
      <c r="BH345" s="223"/>
      <c r="BI345" s="223"/>
      <c r="BJ345" s="223"/>
      <c r="BK345" s="119">
        <v>40.369999999999997</v>
      </c>
      <c r="BL345" s="223"/>
      <c r="BM345" s="223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  <c r="CG345" s="223"/>
      <c r="CH345" s="223"/>
      <c r="CI345" s="223"/>
      <c r="CJ345" s="223"/>
      <c r="CK345" s="223"/>
      <c r="CL345" s="223"/>
      <c r="CM345" s="223"/>
      <c r="CN345" s="14"/>
      <c r="CO345" s="14"/>
      <c r="CP345" s="14"/>
      <c r="CQ345" s="14"/>
      <c r="CR345" s="14"/>
      <c r="CS345" s="14"/>
      <c r="CT345" s="14"/>
      <c r="CU345" s="14"/>
    </row>
    <row r="346" spans="1:99" s="106" customFormat="1" x14ac:dyDescent="0.25">
      <c r="A346" s="263" t="s">
        <v>1978</v>
      </c>
      <c r="B346" s="263"/>
      <c r="C346" s="224" t="s">
        <v>1988</v>
      </c>
      <c r="D346" s="232" t="s">
        <v>54</v>
      </c>
      <c r="E346" s="223" t="s">
        <v>59</v>
      </c>
      <c r="F346" s="263"/>
      <c r="G346" s="406"/>
      <c r="H346" s="406"/>
      <c r="I346" s="406"/>
      <c r="J346" s="223"/>
      <c r="K346" s="223"/>
      <c r="L346" s="223"/>
      <c r="M346" s="223"/>
      <c r="N346" s="223"/>
      <c r="O346" s="223"/>
      <c r="P346" s="223"/>
      <c r="Q346" s="223"/>
      <c r="R346" s="223"/>
      <c r="S346" s="223"/>
      <c r="T346" s="223"/>
      <c r="U346" s="223"/>
      <c r="V346" s="223"/>
      <c r="W346" s="223"/>
      <c r="X346" s="223"/>
      <c r="Y346" s="223"/>
      <c r="Z346" s="223"/>
      <c r="AA346" s="223"/>
      <c r="AB346" s="223"/>
      <c r="AC346" s="223"/>
      <c r="AD346" s="223"/>
      <c r="AE346" s="223"/>
      <c r="AF346" s="223"/>
      <c r="AG346" s="223"/>
      <c r="AH346" s="223"/>
      <c r="AI346" s="223"/>
      <c r="AJ346" s="223"/>
      <c r="AK346" s="223"/>
      <c r="AL346" s="223"/>
      <c r="AM346" s="223"/>
      <c r="AN346" s="223"/>
      <c r="AO346" s="223"/>
      <c r="AP346" s="223"/>
      <c r="AQ346" s="223"/>
      <c r="AR346" s="223"/>
      <c r="AS346" s="223"/>
      <c r="AT346" s="223"/>
      <c r="AU346" s="223"/>
      <c r="AV346" s="223"/>
      <c r="AW346" s="223"/>
      <c r="AX346" s="223"/>
      <c r="AY346" s="223"/>
      <c r="AZ346" s="223"/>
      <c r="BA346" s="223"/>
      <c r="BB346" s="223"/>
      <c r="BC346" s="223"/>
      <c r="BD346" s="223"/>
      <c r="BE346" s="223"/>
      <c r="BF346" s="223"/>
      <c r="BG346" s="223"/>
      <c r="BH346" s="223"/>
      <c r="BI346" s="223"/>
      <c r="BJ346" s="223"/>
      <c r="BK346" s="119">
        <v>49.43</v>
      </c>
      <c r="BL346" s="223"/>
      <c r="BM346" s="223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  <c r="CG346" s="223"/>
      <c r="CH346" s="223"/>
      <c r="CI346" s="223"/>
      <c r="CJ346" s="223"/>
      <c r="CK346" s="223"/>
      <c r="CL346" s="223"/>
      <c r="CM346" s="223"/>
      <c r="CN346" s="14"/>
      <c r="CO346" s="14"/>
      <c r="CP346" s="14"/>
      <c r="CQ346" s="14"/>
      <c r="CR346" s="14"/>
      <c r="CS346" s="14"/>
      <c r="CT346" s="14"/>
      <c r="CU346" s="14"/>
    </row>
    <row r="347" spans="1:99" s="106" customFormat="1" x14ac:dyDescent="0.25">
      <c r="A347" s="263" t="s">
        <v>1978</v>
      </c>
      <c r="B347" s="263"/>
      <c r="C347" s="272" t="s">
        <v>1989</v>
      </c>
      <c r="D347" s="232" t="s">
        <v>54</v>
      </c>
      <c r="E347" s="223" t="s">
        <v>59</v>
      </c>
      <c r="F347" s="263"/>
      <c r="G347" s="406"/>
      <c r="H347" s="406"/>
      <c r="I347" s="406"/>
      <c r="J347" s="223"/>
      <c r="K347" s="223"/>
      <c r="L347" s="223"/>
      <c r="M347" s="223"/>
      <c r="N347" s="223"/>
      <c r="O347" s="223"/>
      <c r="P347" s="223"/>
      <c r="Q347" s="223"/>
      <c r="R347" s="223"/>
      <c r="S347" s="223"/>
      <c r="T347" s="223"/>
      <c r="U347" s="223"/>
      <c r="V347" s="223"/>
      <c r="W347" s="223"/>
      <c r="X347" s="223"/>
      <c r="Y347" s="223"/>
      <c r="Z347" s="223"/>
      <c r="AA347" s="223"/>
      <c r="AB347" s="223"/>
      <c r="AC347" s="223"/>
      <c r="AD347" s="223"/>
      <c r="AE347" s="223"/>
      <c r="AF347" s="223"/>
      <c r="AG347" s="223"/>
      <c r="AH347" s="223"/>
      <c r="AI347" s="223"/>
      <c r="AJ347" s="223"/>
      <c r="AK347" s="223"/>
      <c r="AL347" s="223"/>
      <c r="AM347" s="223"/>
      <c r="AN347" s="223"/>
      <c r="AO347" s="223"/>
      <c r="AP347" s="223"/>
      <c r="AQ347" s="223"/>
      <c r="AR347" s="223"/>
      <c r="AS347" s="223"/>
      <c r="AT347" s="223"/>
      <c r="AU347" s="223"/>
      <c r="AV347" s="223"/>
      <c r="AW347" s="223"/>
      <c r="AX347" s="223"/>
      <c r="AY347" s="223"/>
      <c r="AZ347" s="223"/>
      <c r="BA347" s="223"/>
      <c r="BB347" s="223"/>
      <c r="BC347" s="223"/>
      <c r="BD347" s="223"/>
      <c r="BE347" s="223"/>
      <c r="BF347" s="223"/>
      <c r="BG347" s="223"/>
      <c r="BH347" s="223"/>
      <c r="BI347" s="223"/>
      <c r="BJ347" s="223"/>
      <c r="BK347" s="119">
        <v>35.75</v>
      </c>
      <c r="BL347" s="223"/>
      <c r="BM347" s="223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  <c r="CG347" s="223"/>
      <c r="CH347" s="223"/>
      <c r="CI347" s="223"/>
      <c r="CJ347" s="223"/>
      <c r="CK347" s="223"/>
      <c r="CL347" s="223"/>
      <c r="CM347" s="223"/>
      <c r="CN347" s="14"/>
      <c r="CO347" s="14"/>
      <c r="CP347" s="14"/>
      <c r="CQ347" s="14"/>
      <c r="CR347" s="14"/>
      <c r="CS347" s="14"/>
      <c r="CT347" s="14"/>
      <c r="CU347" s="14"/>
    </row>
    <row r="348" spans="1:99" s="106" customFormat="1" x14ac:dyDescent="0.25">
      <c r="A348" s="263" t="s">
        <v>1978</v>
      </c>
      <c r="B348" s="263"/>
      <c r="C348" s="272" t="s">
        <v>1990</v>
      </c>
      <c r="D348" s="232" t="s">
        <v>54</v>
      </c>
      <c r="E348" s="223" t="s">
        <v>59</v>
      </c>
      <c r="F348" s="263"/>
      <c r="G348" s="406"/>
      <c r="H348" s="406"/>
      <c r="I348" s="406"/>
      <c r="J348" s="223"/>
      <c r="K348" s="223"/>
      <c r="L348" s="223"/>
      <c r="M348" s="223"/>
      <c r="N348" s="223"/>
      <c r="O348" s="223"/>
      <c r="P348" s="223"/>
      <c r="Q348" s="223"/>
      <c r="R348" s="223"/>
      <c r="S348" s="223"/>
      <c r="T348" s="223"/>
      <c r="U348" s="223"/>
      <c r="V348" s="223"/>
      <c r="W348" s="223"/>
      <c r="X348" s="223"/>
      <c r="Y348" s="223"/>
      <c r="Z348" s="223"/>
      <c r="AA348" s="223"/>
      <c r="AB348" s="223"/>
      <c r="AC348" s="223"/>
      <c r="AD348" s="223"/>
      <c r="AE348" s="223"/>
      <c r="AF348" s="223"/>
      <c r="AG348" s="223"/>
      <c r="AH348" s="223"/>
      <c r="AI348" s="223"/>
      <c r="AJ348" s="223"/>
      <c r="AK348" s="223"/>
      <c r="AL348" s="223"/>
      <c r="AM348" s="223"/>
      <c r="AN348" s="223"/>
      <c r="AO348" s="223"/>
      <c r="AP348" s="223"/>
      <c r="AQ348" s="223"/>
      <c r="AR348" s="223"/>
      <c r="AS348" s="223"/>
      <c r="AT348" s="223"/>
      <c r="AU348" s="223"/>
      <c r="AV348" s="223"/>
      <c r="AW348" s="223"/>
      <c r="AX348" s="223"/>
      <c r="AY348" s="223"/>
      <c r="AZ348" s="223"/>
      <c r="BA348" s="223"/>
      <c r="BB348" s="223"/>
      <c r="BC348" s="223"/>
      <c r="BD348" s="223"/>
      <c r="BE348" s="223"/>
      <c r="BF348" s="223"/>
      <c r="BG348" s="223"/>
      <c r="BH348" s="223"/>
      <c r="BI348" s="223"/>
      <c r="BJ348" s="223"/>
      <c r="BK348" s="119">
        <v>35.83</v>
      </c>
      <c r="BL348" s="223"/>
      <c r="BM348" s="223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  <c r="CG348" s="223"/>
      <c r="CH348" s="223"/>
      <c r="CI348" s="223"/>
      <c r="CJ348" s="223"/>
      <c r="CK348" s="223"/>
      <c r="CL348" s="223"/>
      <c r="CM348" s="223"/>
      <c r="CN348" s="14"/>
      <c r="CO348" s="14"/>
      <c r="CP348" s="14"/>
      <c r="CQ348" s="14"/>
      <c r="CR348" s="14"/>
      <c r="CS348" s="14"/>
      <c r="CT348" s="14"/>
      <c r="CU348" s="14"/>
    </row>
    <row r="349" spans="1:99" s="106" customFormat="1" x14ac:dyDescent="0.25">
      <c r="A349" s="263" t="s">
        <v>1978</v>
      </c>
      <c r="B349" s="263"/>
      <c r="C349" s="227" t="s">
        <v>1135</v>
      </c>
      <c r="D349" s="232" t="s">
        <v>54</v>
      </c>
      <c r="E349" s="223" t="s">
        <v>1991</v>
      </c>
      <c r="F349" s="263"/>
      <c r="G349" s="406"/>
      <c r="H349" s="406"/>
      <c r="I349" s="406"/>
      <c r="J349" s="223"/>
      <c r="K349" s="223"/>
      <c r="L349" s="223"/>
      <c r="M349" s="223"/>
      <c r="N349" s="223"/>
      <c r="O349" s="223"/>
      <c r="P349" s="223"/>
      <c r="Q349" s="223"/>
      <c r="R349" s="223"/>
      <c r="S349" s="223"/>
      <c r="T349" s="223"/>
      <c r="U349" s="223"/>
      <c r="V349" s="223"/>
      <c r="W349" s="223"/>
      <c r="X349" s="223"/>
      <c r="Y349" s="223"/>
      <c r="Z349" s="223"/>
      <c r="AA349" s="223"/>
      <c r="AB349" s="223"/>
      <c r="AC349" s="223"/>
      <c r="AD349" s="223"/>
      <c r="AE349" s="223"/>
      <c r="AF349" s="223"/>
      <c r="AG349" s="223"/>
      <c r="AH349" s="223"/>
      <c r="AI349" s="223"/>
      <c r="AJ349" s="223"/>
      <c r="AK349" s="223"/>
      <c r="AL349" s="223"/>
      <c r="AM349" s="223"/>
      <c r="AN349" s="223"/>
      <c r="AO349" s="223"/>
      <c r="AP349" s="223"/>
      <c r="AQ349" s="223"/>
      <c r="AR349" s="223"/>
      <c r="AS349" s="223"/>
      <c r="AT349" s="223"/>
      <c r="AU349" s="223"/>
      <c r="AV349" s="223"/>
      <c r="AW349" s="223"/>
      <c r="AX349" s="223"/>
      <c r="AY349" s="223"/>
      <c r="AZ349" s="223"/>
      <c r="BA349" s="223"/>
      <c r="BB349" s="223"/>
      <c r="BC349" s="223"/>
      <c r="BD349" s="223"/>
      <c r="BE349" s="223"/>
      <c r="BF349" s="223"/>
      <c r="BG349" s="223"/>
      <c r="BH349" s="223"/>
      <c r="BI349" s="223"/>
      <c r="BJ349" s="223"/>
      <c r="BK349" s="119">
        <v>89.43</v>
      </c>
      <c r="BL349" s="223"/>
      <c r="BM349" s="223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  <c r="CG349" s="223"/>
      <c r="CH349" s="223"/>
      <c r="CI349" s="223"/>
      <c r="CJ349" s="223"/>
      <c r="CK349" s="223"/>
      <c r="CL349" s="223"/>
      <c r="CM349" s="223"/>
      <c r="CN349" s="14"/>
      <c r="CO349" s="14"/>
      <c r="CP349" s="14"/>
      <c r="CQ349" s="14"/>
      <c r="CR349" s="14"/>
      <c r="CS349" s="14"/>
      <c r="CT349" s="14"/>
      <c r="CU349" s="14"/>
    </row>
    <row r="350" spans="1:99" s="106" customFormat="1" x14ac:dyDescent="0.25">
      <c r="A350" s="263" t="s">
        <v>1978</v>
      </c>
      <c r="B350" s="263"/>
      <c r="C350" s="272" t="s">
        <v>1992</v>
      </c>
      <c r="D350" s="232" t="s">
        <v>54</v>
      </c>
      <c r="E350" s="223" t="s">
        <v>1991</v>
      </c>
      <c r="F350" s="263"/>
      <c r="G350" s="406"/>
      <c r="H350" s="406"/>
      <c r="I350" s="406"/>
      <c r="J350" s="223"/>
      <c r="K350" s="223"/>
      <c r="L350" s="223"/>
      <c r="M350" s="223"/>
      <c r="N350" s="223"/>
      <c r="O350" s="223"/>
      <c r="P350" s="223"/>
      <c r="Q350" s="223"/>
      <c r="R350" s="223"/>
      <c r="S350" s="223"/>
      <c r="T350" s="223"/>
      <c r="U350" s="223"/>
      <c r="V350" s="223"/>
      <c r="W350" s="223"/>
      <c r="X350" s="223"/>
      <c r="Y350" s="223"/>
      <c r="Z350" s="223"/>
      <c r="AA350" s="223"/>
      <c r="AB350" s="223"/>
      <c r="AC350" s="223"/>
      <c r="AD350" s="223"/>
      <c r="AE350" s="223"/>
      <c r="AF350" s="223"/>
      <c r="AG350" s="223"/>
      <c r="AH350" s="223"/>
      <c r="AI350" s="223"/>
      <c r="AJ350" s="223"/>
      <c r="AK350" s="223"/>
      <c r="AL350" s="223"/>
      <c r="AM350" s="223"/>
      <c r="AN350" s="223"/>
      <c r="AO350" s="223"/>
      <c r="AP350" s="223"/>
      <c r="AQ350" s="223"/>
      <c r="AR350" s="223"/>
      <c r="AS350" s="223"/>
      <c r="AT350" s="223"/>
      <c r="AU350" s="223"/>
      <c r="AV350" s="223"/>
      <c r="AW350" s="223"/>
      <c r="AX350" s="223"/>
      <c r="AY350" s="223"/>
      <c r="AZ350" s="223"/>
      <c r="BA350" s="223"/>
      <c r="BB350" s="223"/>
      <c r="BC350" s="223"/>
      <c r="BD350" s="223"/>
      <c r="BE350" s="223"/>
      <c r="BF350" s="223"/>
      <c r="BG350" s="223"/>
      <c r="BH350" s="223"/>
      <c r="BI350" s="223"/>
      <c r="BJ350" s="223"/>
      <c r="BK350" s="119">
        <v>29.67</v>
      </c>
      <c r="BL350" s="223"/>
      <c r="BM350" s="223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  <c r="CG350" s="223"/>
      <c r="CH350" s="223"/>
      <c r="CI350" s="223"/>
      <c r="CJ350" s="223"/>
      <c r="CK350" s="223"/>
      <c r="CL350" s="223"/>
      <c r="CM350" s="223"/>
      <c r="CN350" s="14"/>
      <c r="CO350" s="14"/>
      <c r="CP350" s="14"/>
      <c r="CQ350" s="14"/>
      <c r="CR350" s="14"/>
      <c r="CS350" s="14"/>
      <c r="CT350" s="14"/>
      <c r="CU350" s="14"/>
    </row>
    <row r="351" spans="1:99" s="106" customFormat="1" x14ac:dyDescent="0.25">
      <c r="A351" s="263" t="s">
        <v>1978</v>
      </c>
      <c r="B351" s="263"/>
      <c r="C351" s="272" t="s">
        <v>1993</v>
      </c>
      <c r="D351" s="232" t="s">
        <v>54</v>
      </c>
      <c r="E351" s="223" t="s">
        <v>1991</v>
      </c>
      <c r="F351" s="263"/>
      <c r="G351" s="406"/>
      <c r="H351" s="406"/>
      <c r="I351" s="406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3"/>
      <c r="AA351" s="223"/>
      <c r="AB351" s="223"/>
      <c r="AC351" s="223"/>
      <c r="AD351" s="223"/>
      <c r="AE351" s="223"/>
      <c r="AF351" s="223"/>
      <c r="AG351" s="223"/>
      <c r="AH351" s="223"/>
      <c r="AI351" s="223"/>
      <c r="AJ351" s="223"/>
      <c r="AK351" s="223"/>
      <c r="AL351" s="223"/>
      <c r="AM351" s="223"/>
      <c r="AN351" s="223"/>
      <c r="AO351" s="223"/>
      <c r="AP351" s="223"/>
      <c r="AQ351" s="223"/>
      <c r="AR351" s="223"/>
      <c r="AS351" s="223"/>
      <c r="AT351" s="223"/>
      <c r="AU351" s="223"/>
      <c r="AV351" s="223"/>
      <c r="AW351" s="223"/>
      <c r="AX351" s="223"/>
      <c r="AY351" s="223"/>
      <c r="AZ351" s="223"/>
      <c r="BA351" s="223"/>
      <c r="BB351" s="223"/>
      <c r="BC351" s="223"/>
      <c r="BD351" s="223"/>
      <c r="BE351" s="223"/>
      <c r="BF351" s="223"/>
      <c r="BG351" s="223"/>
      <c r="BH351" s="223"/>
      <c r="BI351" s="223"/>
      <c r="BJ351" s="223"/>
      <c r="BK351" s="119">
        <v>71.72</v>
      </c>
      <c r="BL351" s="223"/>
      <c r="BM351" s="223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  <c r="CG351" s="223"/>
      <c r="CH351" s="223"/>
      <c r="CI351" s="223"/>
      <c r="CJ351" s="223"/>
      <c r="CK351" s="223"/>
      <c r="CL351" s="223"/>
      <c r="CM351" s="223"/>
      <c r="CN351" s="14"/>
      <c r="CO351" s="14"/>
      <c r="CP351" s="14"/>
      <c r="CQ351" s="14"/>
      <c r="CR351" s="14"/>
      <c r="CS351" s="14"/>
      <c r="CT351" s="14"/>
      <c r="CU351" s="14"/>
    </row>
    <row r="352" spans="1:99" s="106" customFormat="1" x14ac:dyDescent="0.25">
      <c r="A352" s="263" t="s">
        <v>1978</v>
      </c>
      <c r="B352" s="263"/>
      <c r="C352" s="224" t="s">
        <v>1994</v>
      </c>
      <c r="D352" s="232" t="s">
        <v>54</v>
      </c>
      <c r="E352" s="223" t="s">
        <v>1995</v>
      </c>
      <c r="F352" s="263"/>
      <c r="G352" s="406"/>
      <c r="H352" s="406"/>
      <c r="I352" s="406"/>
      <c r="J352" s="223"/>
      <c r="K352" s="223"/>
      <c r="L352" s="223"/>
      <c r="M352" s="223"/>
      <c r="N352" s="223"/>
      <c r="O352" s="223"/>
      <c r="P352" s="223"/>
      <c r="Q352" s="223"/>
      <c r="R352" s="223"/>
      <c r="S352" s="223"/>
      <c r="T352" s="223"/>
      <c r="U352" s="223"/>
      <c r="V352" s="223"/>
      <c r="W352" s="223"/>
      <c r="X352" s="223"/>
      <c r="Y352" s="223"/>
      <c r="Z352" s="223"/>
      <c r="AA352" s="223"/>
      <c r="AB352" s="223"/>
      <c r="AC352" s="223"/>
      <c r="AD352" s="223"/>
      <c r="AE352" s="223"/>
      <c r="AF352" s="223"/>
      <c r="AG352" s="223"/>
      <c r="AH352" s="223"/>
      <c r="AI352" s="223"/>
      <c r="AJ352" s="223"/>
      <c r="AK352" s="223"/>
      <c r="AL352" s="223"/>
      <c r="AM352" s="223"/>
      <c r="AN352" s="223"/>
      <c r="AO352" s="223"/>
      <c r="AP352" s="223"/>
      <c r="AQ352" s="223"/>
      <c r="AR352" s="223"/>
      <c r="AS352" s="223"/>
      <c r="AT352" s="223"/>
      <c r="AU352" s="223"/>
      <c r="AV352" s="223"/>
      <c r="AW352" s="223"/>
      <c r="AX352" s="223"/>
      <c r="AY352" s="223"/>
      <c r="AZ352" s="223"/>
      <c r="BA352" s="223"/>
      <c r="BB352" s="223"/>
      <c r="BC352" s="223"/>
      <c r="BD352" s="223"/>
      <c r="BE352" s="223"/>
      <c r="BF352" s="223"/>
      <c r="BG352" s="223"/>
      <c r="BH352" s="223"/>
      <c r="BI352" s="223"/>
      <c r="BJ352" s="223"/>
      <c r="BK352" s="119">
        <v>35.67</v>
      </c>
      <c r="BL352" s="223"/>
      <c r="BM352" s="223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  <c r="CG352" s="223"/>
      <c r="CH352" s="223"/>
      <c r="CI352" s="223"/>
      <c r="CJ352" s="223"/>
      <c r="CK352" s="223"/>
      <c r="CL352" s="223"/>
      <c r="CM352" s="223"/>
      <c r="CN352" s="14"/>
      <c r="CO352" s="14"/>
      <c r="CP352" s="14"/>
      <c r="CQ352" s="14"/>
      <c r="CR352" s="14"/>
      <c r="CS352" s="14"/>
      <c r="CT352" s="14"/>
      <c r="CU352" s="14"/>
    </row>
  </sheetData>
  <mergeCells count="103">
    <mergeCell ref="BT305:BX305"/>
    <mergeCell ref="BT306:BX306"/>
    <mergeCell ref="BT307:BX307"/>
    <mergeCell ref="BT294:BX294"/>
    <mergeCell ref="BT295:BX295"/>
    <mergeCell ref="BT301:BX301"/>
    <mergeCell ref="BT302:BX302"/>
    <mergeCell ref="BT303:BX303"/>
    <mergeCell ref="BT304:BX304"/>
    <mergeCell ref="BT293:BX293"/>
    <mergeCell ref="BT265:BX265"/>
    <mergeCell ref="BT266:BX266"/>
    <mergeCell ref="BT267:BX267"/>
    <mergeCell ref="BT268:BX268"/>
    <mergeCell ref="BT269:BX269"/>
    <mergeCell ref="BT274:BX274"/>
    <mergeCell ref="BT275:BX275"/>
    <mergeCell ref="BT278:BX278"/>
    <mergeCell ref="BT282:BX282"/>
    <mergeCell ref="BT291:BX291"/>
    <mergeCell ref="BT292:BX292"/>
    <mergeCell ref="BT261:BX261"/>
    <mergeCell ref="BT224:BX224"/>
    <mergeCell ref="BT225:BX225"/>
    <mergeCell ref="BT226:BX226"/>
    <mergeCell ref="BT241:BX241"/>
    <mergeCell ref="BT247:BX247"/>
    <mergeCell ref="BT250:BX250"/>
    <mergeCell ref="BT251:BX251"/>
    <mergeCell ref="BT252:BX252"/>
    <mergeCell ref="BT253:BX253"/>
    <mergeCell ref="BT254:BX254"/>
    <mergeCell ref="BT256:BX256"/>
    <mergeCell ref="BT223:BX223"/>
    <mergeCell ref="BT203:BX203"/>
    <mergeCell ref="BT204:BX204"/>
    <mergeCell ref="BT207:BX207"/>
    <mergeCell ref="BT208:BX208"/>
    <mergeCell ref="BT209:BX209"/>
    <mergeCell ref="BT210:BX210"/>
    <mergeCell ref="BT217:BX217"/>
    <mergeCell ref="BT219:BX219"/>
    <mergeCell ref="BT220:BX220"/>
    <mergeCell ref="BT221:BX221"/>
    <mergeCell ref="BT222:BX222"/>
    <mergeCell ref="BT202:BX202"/>
    <mergeCell ref="BT186:BX186"/>
    <mergeCell ref="BT187:BX187"/>
    <mergeCell ref="BT188:BX188"/>
    <mergeCell ref="BT189:BX189"/>
    <mergeCell ref="BT190:BX190"/>
    <mergeCell ref="BT191:BX191"/>
    <mergeCell ref="BT192:BX192"/>
    <mergeCell ref="BT194:BW194"/>
    <mergeCell ref="BT199:BX199"/>
    <mergeCell ref="BT200:BX200"/>
    <mergeCell ref="BT201:BX201"/>
    <mergeCell ref="BT183:BX183"/>
    <mergeCell ref="BY134:CC134"/>
    <mergeCell ref="BT143:BX143"/>
    <mergeCell ref="BT157:BX157"/>
    <mergeCell ref="BT159:BX159"/>
    <mergeCell ref="BT165:BX165"/>
    <mergeCell ref="BT166:BX166"/>
    <mergeCell ref="BT167:BX167"/>
    <mergeCell ref="BT168:BX168"/>
    <mergeCell ref="BT169:BX169"/>
    <mergeCell ref="BT173:BX173"/>
    <mergeCell ref="BT178:BX178"/>
    <mergeCell ref="A4:F4"/>
    <mergeCell ref="AN4:BJ4"/>
    <mergeCell ref="BL4:BM4"/>
    <mergeCell ref="BN4:BS4"/>
    <mergeCell ref="BT32:BX32"/>
    <mergeCell ref="BT33:BX33"/>
    <mergeCell ref="BT34:BX34"/>
    <mergeCell ref="BT35:BX35"/>
    <mergeCell ref="BT30:BX30"/>
    <mergeCell ref="BT31:BX31"/>
    <mergeCell ref="BT28:BX28"/>
    <mergeCell ref="BT26:BX26"/>
    <mergeCell ref="BT24:BX24"/>
    <mergeCell ref="J4:AM4"/>
    <mergeCell ref="BT43:BX43"/>
    <mergeCell ref="CD4:CM4"/>
    <mergeCell ref="BY120:CC120"/>
    <mergeCell ref="BT4:BX4"/>
    <mergeCell ref="BY4:CC4"/>
    <mergeCell ref="BT77:BX77"/>
    <mergeCell ref="BY101:CC101"/>
    <mergeCell ref="BY102:CC102"/>
    <mergeCell ref="BY103:CC103"/>
    <mergeCell ref="BT47:BX47"/>
    <mergeCell ref="BT48:BX48"/>
    <mergeCell ref="BT49:BX49"/>
    <mergeCell ref="BT44:BX44"/>
    <mergeCell ref="BT45:BX45"/>
    <mergeCell ref="BT39:BX39"/>
    <mergeCell ref="BT40:BX40"/>
    <mergeCell ref="BT41:BX41"/>
    <mergeCell ref="BT42:BX42"/>
    <mergeCell ref="BT36:BX36"/>
    <mergeCell ref="BT37:BX37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3E4D-B81A-4BA5-875A-45C685F2F89B}">
  <sheetPr>
    <tabColor rgb="FFFF0000"/>
    <pageSetUpPr fitToPage="1"/>
  </sheetPr>
  <dimension ref="A1:CQ627"/>
  <sheetViews>
    <sheetView showGridLines="0" zoomScaleNormal="100"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C8" sqref="C8"/>
    </sheetView>
  </sheetViews>
  <sheetFormatPr defaultColWidth="9.140625" defaultRowHeight="15" x14ac:dyDescent="0.25"/>
  <cols>
    <col min="1" max="1" width="14.7109375" style="4" hidden="1" customWidth="1"/>
    <col min="2" max="2" width="10.28515625" style="4" hidden="1" customWidth="1"/>
    <col min="3" max="3" width="14.7109375" style="411" customWidth="1"/>
    <col min="4" max="4" width="8.7109375" style="14" customWidth="1"/>
    <col min="5" max="5" width="49" style="4" customWidth="1"/>
    <col min="6" max="6" width="55.5703125" style="11" bestFit="1" customWidth="1"/>
    <col min="7" max="7" width="18.42578125" style="4" customWidth="1"/>
    <col min="8" max="8" width="14" style="4" customWidth="1"/>
    <col min="9" max="9" width="14.28515625" style="4" customWidth="1"/>
    <col min="10" max="10" width="21" style="4" customWidth="1"/>
    <col min="11" max="11" width="14.140625" style="4" customWidth="1"/>
    <col min="12" max="12" width="13.42578125" style="4" customWidth="1"/>
    <col min="13" max="13" width="13.28515625" style="4" customWidth="1"/>
    <col min="14" max="14" width="13.42578125" style="4" customWidth="1"/>
    <col min="15" max="15" width="15.42578125" style="4" customWidth="1"/>
    <col min="16" max="16" width="12" style="4" customWidth="1"/>
    <col min="17" max="17" width="10.28515625" style="4" customWidth="1"/>
    <col min="18" max="18" width="11" style="4" customWidth="1"/>
    <col min="19" max="19" width="10.7109375" style="4" customWidth="1"/>
    <col min="20" max="20" width="12.7109375" style="4" customWidth="1"/>
    <col min="21" max="21" width="11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customWidth="1"/>
    <col min="30" max="30" width="7.7109375" style="4" customWidth="1"/>
    <col min="31" max="31" width="19.85546875" style="4" customWidth="1"/>
    <col min="32" max="32" width="10.28515625" style="4" customWidth="1"/>
    <col min="33" max="33" width="15.5703125" style="4" customWidth="1"/>
    <col min="34" max="35" width="10.5703125" style="4" customWidth="1"/>
    <col min="36" max="36" width="8" style="4" customWidth="1"/>
    <col min="37" max="38" width="9.28515625" style="4" customWidth="1"/>
    <col min="39" max="40" width="14.140625" style="4" customWidth="1"/>
    <col min="41" max="41" width="10.28515625" style="4" customWidth="1"/>
    <col min="42" max="42" width="9" style="4" customWidth="1"/>
    <col min="43" max="43" width="8.28515625" style="4" customWidth="1"/>
    <col min="44" max="44" width="9.42578125" style="4" customWidth="1"/>
    <col min="45" max="45" width="13.42578125" style="4" customWidth="1"/>
    <col min="46" max="46" width="15.140625" style="4" customWidth="1"/>
    <col min="47" max="47" width="7" style="4" customWidth="1"/>
    <col min="48" max="48" width="6.5703125" style="4" customWidth="1"/>
    <col min="49" max="49" width="6.85546875" style="4" customWidth="1"/>
    <col min="50" max="50" width="5.5703125" style="4" customWidth="1"/>
    <col min="51" max="51" width="6.85546875" style="4" customWidth="1"/>
    <col min="52" max="52" width="4.5703125" style="4" customWidth="1"/>
    <col min="53" max="53" width="7" style="4" customWidth="1"/>
    <col min="54" max="54" width="6.5703125" style="4" customWidth="1"/>
    <col min="55" max="55" width="6.85546875" style="4" customWidth="1"/>
    <col min="56" max="56" width="5.5703125" style="4" customWidth="1"/>
    <col min="57" max="57" width="7.5703125" style="4" customWidth="1"/>
    <col min="58" max="58" width="7" style="4" customWidth="1"/>
    <col min="59" max="59" width="6.5703125" style="4" customWidth="1"/>
    <col min="60" max="60" width="6.85546875" style="4" customWidth="1"/>
    <col min="61" max="61" width="5.5703125" style="4" customWidth="1"/>
    <col min="62" max="64" width="7.5703125" style="4" customWidth="1"/>
    <col min="65" max="65" width="17.85546875" style="4" customWidth="1"/>
    <col min="66" max="66" width="10.42578125" style="4" customWidth="1"/>
    <col min="67" max="67" width="12" style="4" customWidth="1"/>
    <col min="68" max="69" width="14.42578125" style="4" customWidth="1"/>
    <col min="70" max="70" width="13.28515625" style="4" customWidth="1"/>
    <col min="71" max="71" width="16.28515625" style="4" customWidth="1"/>
    <col min="72" max="72" width="22.28515625" style="4" customWidth="1"/>
    <col min="73" max="73" width="12.140625" style="4" hidden="1" customWidth="1"/>
    <col min="74" max="74" width="15.42578125" style="4" hidden="1" customWidth="1"/>
    <col min="75" max="75" width="12.42578125" style="4" hidden="1" customWidth="1"/>
    <col min="76" max="76" width="15.5703125" style="4" hidden="1" customWidth="1"/>
    <col min="77" max="16384" width="9.140625" style="4"/>
  </cols>
  <sheetData>
    <row r="1" spans="1:76" x14ac:dyDescent="0.25">
      <c r="F1" s="67" t="s">
        <v>2661</v>
      </c>
    </row>
    <row r="2" spans="1:76" ht="23.25" x14ac:dyDescent="0.25">
      <c r="F2" s="2" t="s">
        <v>2662</v>
      </c>
      <c r="G2" s="2"/>
      <c r="H2" s="3"/>
    </row>
    <row r="3" spans="1:76" ht="20.25" x14ac:dyDescent="0.25">
      <c r="F3" s="30"/>
    </row>
    <row r="4" spans="1:76" ht="7.5" customHeight="1" x14ac:dyDescent="0.25">
      <c r="C4" s="412"/>
      <c r="D4" s="12"/>
      <c r="E4" s="12"/>
      <c r="F4" s="12"/>
      <c r="G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U4" s="14"/>
      <c r="V4" s="14"/>
      <c r="W4" s="14"/>
      <c r="X4" s="14"/>
      <c r="Y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3"/>
      <c r="AR4" s="339"/>
      <c r="AT4" s="14"/>
      <c r="AU4" s="14"/>
      <c r="AV4" s="14"/>
      <c r="AW4" s="14"/>
      <c r="AX4" s="14"/>
      <c r="AY4" s="14"/>
      <c r="AZ4" s="14"/>
      <c r="BA4" s="9"/>
      <c r="BB4" s="9"/>
      <c r="BC4" s="9"/>
      <c r="BE4" s="9"/>
      <c r="BF4" s="9"/>
      <c r="BG4" s="9"/>
      <c r="BH4" s="9"/>
      <c r="BJ4" s="9"/>
      <c r="BK4" s="9"/>
      <c r="BL4" s="9"/>
      <c r="BO4" s="14"/>
      <c r="BP4" s="14"/>
      <c r="BQ4" s="14"/>
      <c r="BR4" s="14"/>
      <c r="BT4" s="10"/>
      <c r="BU4" s="14"/>
      <c r="BV4" s="14"/>
      <c r="BW4" s="14"/>
    </row>
    <row r="5" spans="1:76" ht="23.25" x14ac:dyDescent="0.25">
      <c r="C5" s="412"/>
      <c r="D5" s="12"/>
      <c r="E5" s="12"/>
      <c r="F5" s="42" t="s">
        <v>57</v>
      </c>
      <c r="G5" s="12"/>
      <c r="AR5" s="339"/>
      <c r="AS5" s="14"/>
      <c r="BR5" s="14"/>
      <c r="BT5" s="10"/>
    </row>
    <row r="6" spans="1:76" ht="16.5" customHeight="1" x14ac:dyDescent="0.25">
      <c r="C6" s="412"/>
      <c r="D6" s="12"/>
      <c r="E6" s="12"/>
      <c r="F6" s="12"/>
      <c r="G6" s="12"/>
      <c r="AR6" s="339"/>
      <c r="AS6" s="14"/>
      <c r="BR6" s="14"/>
      <c r="BT6" s="10"/>
    </row>
    <row r="7" spans="1:76" s="11" customFormat="1" x14ac:dyDescent="0.25">
      <c r="A7" s="413" t="s">
        <v>2511</v>
      </c>
      <c r="B7" s="414" t="s">
        <v>69</v>
      </c>
      <c r="C7" s="415" t="s">
        <v>0</v>
      </c>
      <c r="D7" s="416" t="s">
        <v>60</v>
      </c>
      <c r="E7" s="417" t="s">
        <v>2</v>
      </c>
      <c r="F7" s="409" t="s">
        <v>56</v>
      </c>
      <c r="G7" s="12"/>
      <c r="H7" s="5"/>
      <c r="I7" s="6"/>
      <c r="J7" s="44"/>
      <c r="K7" s="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3"/>
      <c r="AR7" s="339"/>
      <c r="AS7" s="1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14"/>
      <c r="BS7" s="4"/>
      <c r="BT7" s="4"/>
      <c r="BU7" s="4"/>
      <c r="BV7" s="4"/>
      <c r="BW7" s="4"/>
    </row>
    <row r="8" spans="1:76" s="11" customFormat="1" x14ac:dyDescent="0.25">
      <c r="A8" s="16"/>
      <c r="B8" s="131" t="s">
        <v>12</v>
      </c>
      <c r="C8" s="418" t="s">
        <v>2663</v>
      </c>
      <c r="D8" s="16" t="s">
        <v>54</v>
      </c>
      <c r="E8" s="29" t="s">
        <v>2644</v>
      </c>
      <c r="F8" s="24" t="s">
        <v>67</v>
      </c>
      <c r="G8" s="44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76" s="11" customFormat="1" x14ac:dyDescent="0.25">
      <c r="A9" s="359">
        <v>43234</v>
      </c>
      <c r="B9" s="131" t="s">
        <v>12</v>
      </c>
      <c r="C9" s="420">
        <v>644</v>
      </c>
      <c r="D9" s="16" t="s">
        <v>54</v>
      </c>
      <c r="E9" s="25" t="s">
        <v>2664</v>
      </c>
      <c r="F9" s="24" t="s">
        <v>67</v>
      </c>
      <c r="G9" s="86"/>
      <c r="H9" s="36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6" s="11" customFormat="1" x14ac:dyDescent="0.25">
      <c r="A10" s="223"/>
      <c r="B10" s="131" t="s">
        <v>12</v>
      </c>
      <c r="C10" s="421" t="s">
        <v>2665</v>
      </c>
      <c r="D10" s="223" t="s">
        <v>54</v>
      </c>
      <c r="E10" s="29" t="s">
        <v>2644</v>
      </c>
      <c r="F10" s="24" t="s">
        <v>67</v>
      </c>
      <c r="G10" s="44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s="11" customFormat="1" x14ac:dyDescent="0.25">
      <c r="A11" s="359">
        <v>43234</v>
      </c>
      <c r="B11" s="131" t="s">
        <v>12</v>
      </c>
      <c r="C11" s="420">
        <v>751</v>
      </c>
      <c r="D11" s="16" t="s">
        <v>54</v>
      </c>
      <c r="E11" s="25" t="s">
        <v>2666</v>
      </c>
      <c r="F11" s="24" t="s">
        <v>67</v>
      </c>
      <c r="G11" s="86"/>
      <c r="H11" s="36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6" s="11" customFormat="1" x14ac:dyDescent="0.25">
      <c r="A12" s="359">
        <v>43234</v>
      </c>
      <c r="B12" s="131" t="s">
        <v>12</v>
      </c>
      <c r="C12" s="420">
        <v>897</v>
      </c>
      <c r="D12" s="16" t="s">
        <v>54</v>
      </c>
      <c r="E12" s="25" t="s">
        <v>2667</v>
      </c>
      <c r="F12" s="24" t="s">
        <v>67</v>
      </c>
      <c r="G12" s="86"/>
      <c r="H12" s="36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6" s="11" customFormat="1" x14ac:dyDescent="0.25">
      <c r="A13" s="359">
        <v>43234</v>
      </c>
      <c r="B13" s="131" t="s">
        <v>12</v>
      </c>
      <c r="C13" s="420">
        <v>1166</v>
      </c>
      <c r="D13" s="16" t="s">
        <v>54</v>
      </c>
      <c r="E13" s="25" t="s">
        <v>2668</v>
      </c>
      <c r="F13" s="24" t="s">
        <v>67</v>
      </c>
      <c r="G13" s="86"/>
      <c r="H13" s="36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6" s="11" customFormat="1" x14ac:dyDescent="0.25">
      <c r="A14" s="359">
        <v>43234</v>
      </c>
      <c r="B14" s="131" t="s">
        <v>12</v>
      </c>
      <c r="C14" s="420">
        <v>1327</v>
      </c>
      <c r="D14" s="16" t="s">
        <v>54</v>
      </c>
      <c r="E14" s="25" t="s">
        <v>2669</v>
      </c>
      <c r="F14" s="24" t="s">
        <v>67</v>
      </c>
      <c r="G14" s="86"/>
      <c r="H14" s="36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6" s="11" customFormat="1" x14ac:dyDescent="0.25">
      <c r="A15" s="359">
        <v>43234</v>
      </c>
      <c r="B15" s="131" t="s">
        <v>12</v>
      </c>
      <c r="C15" s="420">
        <v>1449</v>
      </c>
      <c r="D15" s="16" t="s">
        <v>54</v>
      </c>
      <c r="E15" s="25" t="s">
        <v>2670</v>
      </c>
      <c r="F15" s="24" t="s">
        <v>67</v>
      </c>
      <c r="G15" s="86"/>
      <c r="H15" s="36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6" s="11" customFormat="1" x14ac:dyDescent="0.25">
      <c r="A16" s="359">
        <v>43234</v>
      </c>
      <c r="B16" s="131" t="s">
        <v>12</v>
      </c>
      <c r="C16" s="420">
        <v>1588</v>
      </c>
      <c r="D16" s="16" t="s">
        <v>54</v>
      </c>
      <c r="E16" s="25" t="s">
        <v>2494</v>
      </c>
      <c r="F16" s="24" t="s">
        <v>67</v>
      </c>
      <c r="G16" s="86"/>
      <c r="H16" s="36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6" s="11" customFormat="1" x14ac:dyDescent="0.25">
      <c r="A17" s="359">
        <v>43234</v>
      </c>
      <c r="B17" s="131" t="s">
        <v>12</v>
      </c>
      <c r="C17" s="420">
        <v>1744</v>
      </c>
      <c r="D17" s="16" t="s">
        <v>54</v>
      </c>
      <c r="E17" s="25" t="s">
        <v>2671</v>
      </c>
      <c r="F17" s="24" t="s">
        <v>67</v>
      </c>
      <c r="G17" s="86"/>
      <c r="H17" s="36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6" s="11" customFormat="1" x14ac:dyDescent="0.25">
      <c r="A18" s="359">
        <v>43234</v>
      </c>
      <c r="B18" s="131" t="s">
        <v>12</v>
      </c>
      <c r="C18" s="420">
        <v>1760</v>
      </c>
      <c r="D18" s="16" t="s">
        <v>54</v>
      </c>
      <c r="E18" s="25" t="s">
        <v>2672</v>
      </c>
      <c r="F18" s="24" t="s">
        <v>67</v>
      </c>
      <c r="G18" s="86"/>
      <c r="H18" s="36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6" s="11" customFormat="1" x14ac:dyDescent="0.25">
      <c r="A19" s="359">
        <v>43234</v>
      </c>
      <c r="B19" s="131" t="s">
        <v>12</v>
      </c>
      <c r="C19" s="420">
        <v>1826</v>
      </c>
      <c r="D19" s="16" t="s">
        <v>54</v>
      </c>
      <c r="E19" s="25" t="s">
        <v>2673</v>
      </c>
      <c r="F19" s="24" t="s">
        <v>67</v>
      </c>
      <c r="G19" s="86"/>
      <c r="H19" s="36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6" s="11" customFormat="1" x14ac:dyDescent="0.25">
      <c r="A20" s="359">
        <v>43234</v>
      </c>
      <c r="B20" s="131" t="s">
        <v>12</v>
      </c>
      <c r="C20" s="420">
        <v>2072</v>
      </c>
      <c r="D20" s="16" t="s">
        <v>54</v>
      </c>
      <c r="E20" s="25" t="s">
        <v>2674</v>
      </c>
      <c r="F20" s="24" t="s">
        <v>67</v>
      </c>
      <c r="G20" s="86"/>
      <c r="H20" s="36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pans="1:76" s="11" customFormat="1" x14ac:dyDescent="0.25">
      <c r="A21" s="359">
        <v>43234</v>
      </c>
      <c r="B21" s="131" t="s">
        <v>12</v>
      </c>
      <c r="C21" s="420">
        <v>2142</v>
      </c>
      <c r="D21" s="16" t="s">
        <v>54</v>
      </c>
      <c r="E21" s="41" t="s">
        <v>2675</v>
      </c>
      <c r="F21" s="24" t="s">
        <v>67</v>
      </c>
      <c r="G21" s="86"/>
      <c r="H21" s="36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6" s="11" customFormat="1" x14ac:dyDescent="0.25">
      <c r="A22" s="359">
        <v>43234</v>
      </c>
      <c r="B22" s="131" t="s">
        <v>12</v>
      </c>
      <c r="C22" s="420">
        <v>2143</v>
      </c>
      <c r="D22" s="16" t="s">
        <v>54</v>
      </c>
      <c r="E22" s="41" t="s">
        <v>2676</v>
      </c>
      <c r="F22" s="24" t="s">
        <v>67</v>
      </c>
      <c r="G22" s="86"/>
      <c r="H22" s="36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6" s="11" customFormat="1" x14ac:dyDescent="0.25">
      <c r="A23" s="359">
        <v>43234</v>
      </c>
      <c r="B23" s="131" t="s">
        <v>12</v>
      </c>
      <c r="C23" s="420">
        <v>2146</v>
      </c>
      <c r="D23" s="16" t="s">
        <v>54</v>
      </c>
      <c r="E23" s="41" t="s">
        <v>2677</v>
      </c>
      <c r="F23" s="24" t="s">
        <v>67</v>
      </c>
      <c r="G23" s="86"/>
      <c r="H23" s="36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6" s="11" customFormat="1" x14ac:dyDescent="0.25">
      <c r="A24" s="359">
        <v>43234</v>
      </c>
      <c r="B24" s="131" t="s">
        <v>12</v>
      </c>
      <c r="C24" s="368">
        <v>2232</v>
      </c>
      <c r="D24" s="16" t="s">
        <v>54</v>
      </c>
      <c r="E24" s="41" t="s">
        <v>2678</v>
      </c>
      <c r="F24" s="24" t="s">
        <v>67</v>
      </c>
      <c r="G24" s="86"/>
      <c r="H24" s="42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</row>
    <row r="25" spans="1:76" s="11" customFormat="1" x14ac:dyDescent="0.25">
      <c r="A25" s="359">
        <v>43234</v>
      </c>
      <c r="B25" s="131" t="s">
        <v>12</v>
      </c>
      <c r="C25" s="420">
        <v>2236</v>
      </c>
      <c r="D25" s="16" t="s">
        <v>54</v>
      </c>
      <c r="E25" s="41" t="s">
        <v>2679</v>
      </c>
      <c r="F25" s="24" t="s">
        <v>67</v>
      </c>
      <c r="G25" s="12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4"/>
      <c r="U25" s="14"/>
      <c r="V25" s="14"/>
      <c r="W25" s="14"/>
      <c r="X25" s="14"/>
      <c r="Y25" s="14"/>
      <c r="Z25" s="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3"/>
      <c r="AR25" s="339"/>
      <c r="AS25" s="4"/>
      <c r="AT25" s="14"/>
      <c r="AU25" s="14"/>
      <c r="AV25" s="14"/>
      <c r="AW25" s="14"/>
      <c r="AX25" s="14"/>
      <c r="AY25" s="14"/>
      <c r="AZ25" s="14"/>
      <c r="BA25" s="9"/>
      <c r="BB25" s="9"/>
      <c r="BC25" s="9"/>
      <c r="BD25" s="4"/>
      <c r="BE25" s="9"/>
      <c r="BF25" s="9"/>
      <c r="BG25" s="9"/>
      <c r="BH25" s="9"/>
      <c r="BI25" s="4"/>
      <c r="BJ25" s="9"/>
      <c r="BK25" s="9"/>
      <c r="BL25" s="9"/>
      <c r="BM25" s="4"/>
      <c r="BN25" s="4"/>
      <c r="BO25" s="14"/>
      <c r="BP25" s="14"/>
      <c r="BQ25" s="14"/>
      <c r="BR25" s="14"/>
      <c r="BS25" s="4"/>
      <c r="BT25" s="10"/>
      <c r="BU25" s="14"/>
      <c r="BV25" s="14"/>
      <c r="BW25" s="14"/>
      <c r="BX25" s="4"/>
    </row>
    <row r="26" spans="1:76" s="11" customFormat="1" x14ac:dyDescent="0.25">
      <c r="A26" s="359">
        <v>43234</v>
      </c>
      <c r="B26" s="131" t="s">
        <v>12</v>
      </c>
      <c r="C26" s="420">
        <v>2252</v>
      </c>
      <c r="D26" s="16" t="s">
        <v>54</v>
      </c>
      <c r="E26" s="41" t="s">
        <v>2680</v>
      </c>
      <c r="F26" s="24" t="s">
        <v>67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1:76" s="11" customFormat="1" x14ac:dyDescent="0.25">
      <c r="A27" s="359">
        <v>43234</v>
      </c>
      <c r="B27" s="131" t="s">
        <v>12</v>
      </c>
      <c r="C27" s="420">
        <v>2253</v>
      </c>
      <c r="D27" s="16" t="s">
        <v>54</v>
      </c>
      <c r="E27" s="41" t="s">
        <v>2681</v>
      </c>
      <c r="F27" s="24" t="s">
        <v>67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76" s="11" customFormat="1" x14ac:dyDescent="0.25">
      <c r="A28" s="359">
        <v>43234</v>
      </c>
      <c r="B28" s="131" t="s">
        <v>12</v>
      </c>
      <c r="C28" s="420">
        <v>2259</v>
      </c>
      <c r="D28" s="16" t="s">
        <v>54</v>
      </c>
      <c r="E28" s="41" t="s">
        <v>2682</v>
      </c>
      <c r="F28" s="24" t="s">
        <v>67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s="11" customFormat="1" x14ac:dyDescent="0.25">
      <c r="A29" s="359">
        <v>43234</v>
      </c>
      <c r="B29" s="131" t="s">
        <v>12</v>
      </c>
      <c r="C29" s="420">
        <v>2297</v>
      </c>
      <c r="D29" s="16" t="s">
        <v>54</v>
      </c>
      <c r="E29" s="41" t="s">
        <v>2683</v>
      </c>
      <c r="F29" s="24" t="s">
        <v>67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6" s="11" customFormat="1" x14ac:dyDescent="0.25">
      <c r="A30" s="359">
        <v>43234</v>
      </c>
      <c r="B30" s="131" t="s">
        <v>12</v>
      </c>
      <c r="C30" s="420">
        <v>2298</v>
      </c>
      <c r="D30" s="16" t="s">
        <v>54</v>
      </c>
      <c r="E30" s="41" t="s">
        <v>2684</v>
      </c>
      <c r="F30" s="24" t="s">
        <v>67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76" s="11" customFormat="1" x14ac:dyDescent="0.25">
      <c r="A31" s="359">
        <v>43234</v>
      </c>
      <c r="B31" s="131" t="s">
        <v>12</v>
      </c>
      <c r="C31" s="420">
        <v>2340</v>
      </c>
      <c r="D31" s="16" t="s">
        <v>54</v>
      </c>
      <c r="E31" s="41" t="s">
        <v>2685</v>
      </c>
      <c r="F31" s="24" t="s">
        <v>67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76" s="11" customFormat="1" x14ac:dyDescent="0.25">
      <c r="A32" s="359">
        <v>43234</v>
      </c>
      <c r="B32" s="131" t="s">
        <v>12</v>
      </c>
      <c r="C32" s="420">
        <v>2372</v>
      </c>
      <c r="D32" s="16" t="s">
        <v>54</v>
      </c>
      <c r="E32" s="41" t="s">
        <v>2686</v>
      </c>
      <c r="F32" s="24" t="s">
        <v>67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s="11" customFormat="1" x14ac:dyDescent="0.25">
      <c r="A33" s="359">
        <v>43234</v>
      </c>
      <c r="B33" s="131" t="s">
        <v>12</v>
      </c>
      <c r="C33" s="420">
        <v>2409</v>
      </c>
      <c r="D33" s="16" t="s">
        <v>54</v>
      </c>
      <c r="E33" s="41" t="s">
        <v>2687</v>
      </c>
      <c r="F33" s="24" t="s">
        <v>67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s="11" customFormat="1" x14ac:dyDescent="0.25">
      <c r="A34" s="359">
        <v>43234</v>
      </c>
      <c r="B34" s="131" t="s">
        <v>12</v>
      </c>
      <c r="C34" s="420">
        <v>2410</v>
      </c>
      <c r="D34" s="16" t="s">
        <v>54</v>
      </c>
      <c r="E34" s="41" t="s">
        <v>2688</v>
      </c>
      <c r="F34" s="24" t="s">
        <v>67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s="11" customFormat="1" x14ac:dyDescent="0.25">
      <c r="A35" s="359">
        <v>43234</v>
      </c>
      <c r="B35" s="131" t="s">
        <v>12</v>
      </c>
      <c r="C35" s="420">
        <v>2416</v>
      </c>
      <c r="D35" s="16" t="s">
        <v>54</v>
      </c>
      <c r="E35" s="41" t="s">
        <v>2689</v>
      </c>
      <c r="F35" s="24" t="s">
        <v>67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s="11" customFormat="1" x14ac:dyDescent="0.25">
      <c r="A36" s="359">
        <v>43234</v>
      </c>
      <c r="B36" s="131" t="s">
        <v>12</v>
      </c>
      <c r="C36" s="420">
        <v>2428</v>
      </c>
      <c r="D36" s="16" t="s">
        <v>54</v>
      </c>
      <c r="E36" s="41" t="s">
        <v>2690</v>
      </c>
      <c r="F36" s="24" t="s">
        <v>67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76" s="11" customFormat="1" x14ac:dyDescent="0.25">
      <c r="A37" s="359">
        <v>43234</v>
      </c>
      <c r="B37" s="131" t="s">
        <v>12</v>
      </c>
      <c r="C37" s="420">
        <v>2431</v>
      </c>
      <c r="D37" s="16" t="s">
        <v>54</v>
      </c>
      <c r="E37" s="41" t="s">
        <v>2691</v>
      </c>
      <c r="F37" s="24" t="s">
        <v>67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76" s="11" customFormat="1" x14ac:dyDescent="0.25">
      <c r="A38" s="359">
        <v>43234</v>
      </c>
      <c r="B38" s="131" t="s">
        <v>12</v>
      </c>
      <c r="C38" s="420">
        <v>2581</v>
      </c>
      <c r="D38" s="16" t="s">
        <v>54</v>
      </c>
      <c r="E38" s="41" t="s">
        <v>2692</v>
      </c>
      <c r="F38" s="24" t="s">
        <v>67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1:76" s="11" customFormat="1" x14ac:dyDescent="0.25">
      <c r="A39" s="359">
        <v>43234</v>
      </c>
      <c r="B39" s="131" t="s">
        <v>12</v>
      </c>
      <c r="C39" s="420">
        <v>2584</v>
      </c>
      <c r="D39" s="16" t="s">
        <v>54</v>
      </c>
      <c r="E39" s="41" t="s">
        <v>2693</v>
      </c>
      <c r="F39" s="24" t="s">
        <v>67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1:76" s="11" customFormat="1" x14ac:dyDescent="0.25">
      <c r="A40" s="359">
        <v>43234</v>
      </c>
      <c r="B40" s="131" t="s">
        <v>12</v>
      </c>
      <c r="C40" s="420">
        <v>2631</v>
      </c>
      <c r="D40" s="16" t="s">
        <v>54</v>
      </c>
      <c r="E40" s="41" t="s">
        <v>2694</v>
      </c>
      <c r="F40" s="24" t="s">
        <v>67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1:76" s="11" customFormat="1" x14ac:dyDescent="0.25">
      <c r="A41" s="359">
        <v>43234</v>
      </c>
      <c r="B41" s="131" t="s">
        <v>12</v>
      </c>
      <c r="C41" s="420">
        <v>2636</v>
      </c>
      <c r="D41" s="16" t="s">
        <v>54</v>
      </c>
      <c r="E41" s="41" t="s">
        <v>2683</v>
      </c>
      <c r="F41" s="24" t="s">
        <v>67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1:76" s="11" customFormat="1" x14ac:dyDescent="0.25">
      <c r="A42" s="359">
        <v>43234</v>
      </c>
      <c r="B42" s="131" t="s">
        <v>12</v>
      </c>
      <c r="C42" s="420">
        <v>2642</v>
      </c>
      <c r="D42" s="16" t="s">
        <v>54</v>
      </c>
      <c r="E42" s="41" t="s">
        <v>2679</v>
      </c>
      <c r="F42" s="24" t="s">
        <v>67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1:76" s="11" customFormat="1" x14ac:dyDescent="0.25">
      <c r="A43" s="359">
        <v>43234</v>
      </c>
      <c r="B43" s="131" t="s">
        <v>12</v>
      </c>
      <c r="C43" s="420">
        <v>2647</v>
      </c>
      <c r="D43" s="16" t="s">
        <v>54</v>
      </c>
      <c r="E43" s="41" t="s">
        <v>2695</v>
      </c>
      <c r="F43" s="24" t="s">
        <v>67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76" s="11" customFormat="1" x14ac:dyDescent="0.25">
      <c r="A44" s="359">
        <v>43234</v>
      </c>
      <c r="B44" s="131" t="s">
        <v>12</v>
      </c>
      <c r="C44" s="420">
        <v>2648</v>
      </c>
      <c r="D44" s="16" t="s">
        <v>54</v>
      </c>
      <c r="E44" s="41" t="s">
        <v>2695</v>
      </c>
      <c r="F44" s="24" t="s">
        <v>67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</row>
    <row r="45" spans="1:76" s="11" customFormat="1" x14ac:dyDescent="0.25">
      <c r="A45" s="359">
        <v>43234</v>
      </c>
      <c r="B45" s="131" t="s">
        <v>12</v>
      </c>
      <c r="C45" s="420">
        <v>2666</v>
      </c>
      <c r="D45" s="16" t="s">
        <v>54</v>
      </c>
      <c r="E45" s="41" t="s">
        <v>2696</v>
      </c>
      <c r="F45" s="24" t="s">
        <v>67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</row>
    <row r="46" spans="1:76" s="11" customFormat="1" x14ac:dyDescent="0.25">
      <c r="A46" s="359">
        <v>43234</v>
      </c>
      <c r="B46" s="131" t="s">
        <v>12</v>
      </c>
      <c r="C46" s="420">
        <v>2668</v>
      </c>
      <c r="D46" s="16" t="s">
        <v>54</v>
      </c>
      <c r="E46" s="41" t="s">
        <v>2697</v>
      </c>
      <c r="F46" s="24" t="s">
        <v>67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</row>
    <row r="47" spans="1:76" s="11" customFormat="1" x14ac:dyDescent="0.25">
      <c r="A47" s="359">
        <v>43234</v>
      </c>
      <c r="B47" s="131" t="s">
        <v>12</v>
      </c>
      <c r="C47" s="420">
        <v>2669</v>
      </c>
      <c r="D47" s="16" t="s">
        <v>54</v>
      </c>
      <c r="E47" s="41" t="s">
        <v>2698</v>
      </c>
      <c r="F47" s="24" t="s">
        <v>67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</row>
    <row r="48" spans="1:76" s="11" customFormat="1" x14ac:dyDescent="0.25">
      <c r="A48" s="359">
        <v>43234</v>
      </c>
      <c r="B48" s="131" t="s">
        <v>12</v>
      </c>
      <c r="C48" s="420">
        <v>2670</v>
      </c>
      <c r="D48" s="16" t="s">
        <v>54</v>
      </c>
      <c r="E48" s="41" t="s">
        <v>2699</v>
      </c>
      <c r="F48" s="24" t="s">
        <v>67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</row>
    <row r="49" spans="1:76" s="11" customFormat="1" x14ac:dyDescent="0.25">
      <c r="A49" s="359">
        <v>43234</v>
      </c>
      <c r="B49" s="131" t="s">
        <v>12</v>
      </c>
      <c r="C49" s="420">
        <v>2690</v>
      </c>
      <c r="D49" s="16" t="s">
        <v>54</v>
      </c>
      <c r="E49" s="41" t="s">
        <v>2700</v>
      </c>
      <c r="F49" s="24" t="s">
        <v>67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</row>
    <row r="50" spans="1:76" s="11" customFormat="1" x14ac:dyDescent="0.25">
      <c r="A50" s="359">
        <v>43234</v>
      </c>
      <c r="B50" s="131" t="s">
        <v>12</v>
      </c>
      <c r="C50" s="420">
        <v>2706</v>
      </c>
      <c r="D50" s="16" t="s">
        <v>54</v>
      </c>
      <c r="E50" s="41" t="s">
        <v>2701</v>
      </c>
      <c r="F50" s="24" t="s">
        <v>67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</row>
    <row r="51" spans="1:76" s="11" customFormat="1" x14ac:dyDescent="0.25">
      <c r="A51" s="315">
        <v>43084</v>
      </c>
      <c r="B51" s="131" t="s">
        <v>12</v>
      </c>
      <c r="C51" s="423">
        <v>2760</v>
      </c>
      <c r="D51" s="16" t="s">
        <v>54</v>
      </c>
      <c r="E51" s="79" t="s">
        <v>2702</v>
      </c>
      <c r="F51" s="24" t="s">
        <v>67</v>
      </c>
      <c r="G51" s="42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6" s="11" customFormat="1" x14ac:dyDescent="0.25">
      <c r="A52" s="359">
        <v>43234</v>
      </c>
      <c r="B52" s="131" t="s">
        <v>12</v>
      </c>
      <c r="C52" s="420">
        <v>2764</v>
      </c>
      <c r="D52" s="16" t="s">
        <v>54</v>
      </c>
      <c r="E52" s="41" t="s">
        <v>2703</v>
      </c>
      <c r="F52" s="24" t="s">
        <v>67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</row>
    <row r="53" spans="1:76" s="11" customFormat="1" x14ac:dyDescent="0.25">
      <c r="A53" s="359">
        <v>43234</v>
      </c>
      <c r="B53" s="131" t="s">
        <v>12</v>
      </c>
      <c r="C53" s="420">
        <v>2791</v>
      </c>
      <c r="D53" s="16" t="s">
        <v>54</v>
      </c>
      <c r="E53" s="41" t="s">
        <v>2704</v>
      </c>
      <c r="F53" s="24" t="s">
        <v>67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</row>
    <row r="54" spans="1:76" s="11" customFormat="1" x14ac:dyDescent="0.25">
      <c r="A54" s="359">
        <v>43234</v>
      </c>
      <c r="B54" s="131" t="s">
        <v>12</v>
      </c>
      <c r="C54" s="420">
        <v>2793</v>
      </c>
      <c r="D54" s="16" t="s">
        <v>54</v>
      </c>
      <c r="E54" s="41" t="s">
        <v>2705</v>
      </c>
      <c r="F54" s="24" t="s">
        <v>67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</row>
    <row r="55" spans="1:76" s="11" customFormat="1" x14ac:dyDescent="0.25">
      <c r="A55" s="359">
        <v>43234</v>
      </c>
      <c r="B55" s="131" t="s">
        <v>12</v>
      </c>
      <c r="C55" s="420">
        <v>2821</v>
      </c>
      <c r="D55" s="16" t="s">
        <v>54</v>
      </c>
      <c r="E55" s="41" t="s">
        <v>2700</v>
      </c>
      <c r="F55" s="24" t="s">
        <v>67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</row>
    <row r="56" spans="1:76" s="11" customFormat="1" x14ac:dyDescent="0.25">
      <c r="A56" s="359">
        <v>43234</v>
      </c>
      <c r="B56" s="131" t="s">
        <v>12</v>
      </c>
      <c r="C56" s="420">
        <v>2871</v>
      </c>
      <c r="D56" s="16" t="s">
        <v>54</v>
      </c>
      <c r="E56" s="41" t="s">
        <v>2706</v>
      </c>
      <c r="F56" s="24" t="s">
        <v>67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</row>
    <row r="57" spans="1:76" s="11" customFormat="1" x14ac:dyDescent="0.25">
      <c r="A57" s="359">
        <v>43234</v>
      </c>
      <c r="B57" s="131" t="s">
        <v>12</v>
      </c>
      <c r="C57" s="420">
        <v>2938</v>
      </c>
      <c r="D57" s="16" t="s">
        <v>54</v>
      </c>
      <c r="E57" s="41" t="s">
        <v>2707</v>
      </c>
      <c r="F57" s="24" t="s">
        <v>67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</row>
    <row r="58" spans="1:76" s="11" customFormat="1" x14ac:dyDescent="0.25">
      <c r="A58" s="359">
        <v>43234</v>
      </c>
      <c r="B58" s="131" t="s">
        <v>12</v>
      </c>
      <c r="C58" s="420">
        <v>2967</v>
      </c>
      <c r="D58" s="16" t="s">
        <v>54</v>
      </c>
      <c r="E58" s="41" t="s">
        <v>2708</v>
      </c>
      <c r="F58" s="24" t="s">
        <v>67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</row>
    <row r="59" spans="1:76" s="11" customFormat="1" x14ac:dyDescent="0.25">
      <c r="A59" s="359">
        <v>43234</v>
      </c>
      <c r="B59" s="131" t="s">
        <v>12</v>
      </c>
      <c r="C59" s="420">
        <v>2984</v>
      </c>
      <c r="D59" s="16" t="s">
        <v>54</v>
      </c>
      <c r="E59" s="41" t="s">
        <v>2709</v>
      </c>
      <c r="F59" s="24" t="s">
        <v>67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</row>
    <row r="60" spans="1:76" s="11" customFormat="1" x14ac:dyDescent="0.25">
      <c r="A60" s="359">
        <v>43234</v>
      </c>
      <c r="B60" s="131" t="s">
        <v>12</v>
      </c>
      <c r="C60" s="420">
        <v>3035</v>
      </c>
      <c r="D60" s="16" t="s">
        <v>54</v>
      </c>
      <c r="E60" s="41" t="s">
        <v>2675</v>
      </c>
      <c r="F60" s="24" t="s">
        <v>67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</row>
    <row r="61" spans="1:76" s="11" customFormat="1" x14ac:dyDescent="0.25">
      <c r="A61" s="359">
        <v>43234</v>
      </c>
      <c r="B61" s="131" t="s">
        <v>12</v>
      </c>
      <c r="C61" s="420">
        <v>3036</v>
      </c>
      <c r="D61" s="16" t="s">
        <v>54</v>
      </c>
      <c r="E61" s="41" t="s">
        <v>2676</v>
      </c>
      <c r="F61" s="24" t="s">
        <v>67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s="11" customFormat="1" x14ac:dyDescent="0.25">
      <c r="A62" s="359">
        <v>43234</v>
      </c>
      <c r="B62" s="131" t="s">
        <v>12</v>
      </c>
      <c r="C62" s="420">
        <v>3104</v>
      </c>
      <c r="D62" s="16" t="s">
        <v>54</v>
      </c>
      <c r="E62" s="41" t="s">
        <v>2710</v>
      </c>
      <c r="F62" s="24" t="s">
        <v>67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s="11" customFormat="1" x14ac:dyDescent="0.25">
      <c r="A63" s="359">
        <v>43234</v>
      </c>
      <c r="B63" s="131" t="s">
        <v>12</v>
      </c>
      <c r="C63" s="420">
        <v>3248</v>
      </c>
      <c r="D63" s="16" t="s">
        <v>54</v>
      </c>
      <c r="E63" s="41" t="s">
        <v>2711</v>
      </c>
      <c r="F63" s="24" t="s">
        <v>67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s="11" customFormat="1" x14ac:dyDescent="0.25">
      <c r="A64" s="359">
        <v>43234</v>
      </c>
      <c r="B64" s="131" t="s">
        <v>12</v>
      </c>
      <c r="C64" s="420">
        <v>3256</v>
      </c>
      <c r="D64" s="16" t="s">
        <v>54</v>
      </c>
      <c r="E64" s="41" t="s">
        <v>2695</v>
      </c>
      <c r="F64" s="24" t="s">
        <v>67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6" ht="15" customHeight="1" x14ac:dyDescent="0.25">
      <c r="A65" s="359">
        <v>43234</v>
      </c>
      <c r="B65" s="131" t="s">
        <v>12</v>
      </c>
      <c r="C65" s="420">
        <v>3257</v>
      </c>
      <c r="D65" s="16" t="s">
        <v>54</v>
      </c>
      <c r="E65" s="41" t="s">
        <v>2712</v>
      </c>
      <c r="F65" s="24" t="s">
        <v>67</v>
      </c>
    </row>
    <row r="66" spans="1:6" x14ac:dyDescent="0.25">
      <c r="A66" s="359">
        <v>43234</v>
      </c>
      <c r="B66" s="131" t="s">
        <v>12</v>
      </c>
      <c r="C66" s="420">
        <v>3280</v>
      </c>
      <c r="D66" s="16" t="s">
        <v>54</v>
      </c>
      <c r="E66" s="41" t="s">
        <v>2713</v>
      </c>
      <c r="F66" s="24" t="s">
        <v>67</v>
      </c>
    </row>
    <row r="67" spans="1:6" x14ac:dyDescent="0.25">
      <c r="A67" s="359">
        <v>43234</v>
      </c>
      <c r="B67" s="131" t="s">
        <v>12</v>
      </c>
      <c r="C67" s="420">
        <v>3282</v>
      </c>
      <c r="D67" s="16" t="s">
        <v>54</v>
      </c>
      <c r="E67" s="41" t="s">
        <v>2714</v>
      </c>
      <c r="F67" s="24" t="s">
        <v>67</v>
      </c>
    </row>
    <row r="68" spans="1:6" x14ac:dyDescent="0.25">
      <c r="A68" s="359">
        <v>43234</v>
      </c>
      <c r="B68" s="131" t="s">
        <v>12</v>
      </c>
      <c r="C68" s="420">
        <v>3289</v>
      </c>
      <c r="D68" s="16" t="s">
        <v>54</v>
      </c>
      <c r="E68" s="41" t="s">
        <v>2715</v>
      </c>
      <c r="F68" s="24" t="s">
        <v>67</v>
      </c>
    </row>
    <row r="69" spans="1:6" x14ac:dyDescent="0.25">
      <c r="A69" s="359">
        <v>43234</v>
      </c>
      <c r="B69" s="131" t="s">
        <v>12</v>
      </c>
      <c r="C69" s="420">
        <v>3371</v>
      </c>
      <c r="D69" s="16" t="s">
        <v>54</v>
      </c>
      <c r="E69" s="41" t="s">
        <v>2716</v>
      </c>
      <c r="F69" s="24" t="s">
        <v>67</v>
      </c>
    </row>
    <row r="70" spans="1:6" x14ac:dyDescent="0.25">
      <c r="A70" s="359">
        <v>43234</v>
      </c>
      <c r="B70" s="131" t="s">
        <v>12</v>
      </c>
      <c r="C70" s="420">
        <v>3392</v>
      </c>
      <c r="D70" s="16" t="s">
        <v>54</v>
      </c>
      <c r="E70" s="41" t="s">
        <v>1130</v>
      </c>
      <c r="F70" s="24" t="s">
        <v>67</v>
      </c>
    </row>
    <row r="71" spans="1:6" x14ac:dyDescent="0.25">
      <c r="A71" s="359">
        <v>43234</v>
      </c>
      <c r="B71" s="131" t="s">
        <v>12</v>
      </c>
      <c r="C71" s="420">
        <v>3681</v>
      </c>
      <c r="D71" s="16" t="s">
        <v>54</v>
      </c>
      <c r="E71" s="41" t="s">
        <v>2717</v>
      </c>
      <c r="F71" s="24" t="s">
        <v>67</v>
      </c>
    </row>
    <row r="72" spans="1:6" x14ac:dyDescent="0.25">
      <c r="A72" s="359">
        <v>43234</v>
      </c>
      <c r="B72" s="131" t="s">
        <v>12</v>
      </c>
      <c r="C72" s="420">
        <v>3766</v>
      </c>
      <c r="D72" s="16" t="s">
        <v>54</v>
      </c>
      <c r="E72" s="41" t="s">
        <v>2718</v>
      </c>
      <c r="F72" s="24" t="s">
        <v>67</v>
      </c>
    </row>
    <row r="73" spans="1:6" x14ac:dyDescent="0.25">
      <c r="A73" s="359">
        <v>43234</v>
      </c>
      <c r="B73" s="131" t="s">
        <v>12</v>
      </c>
      <c r="C73" s="420">
        <v>3773</v>
      </c>
      <c r="D73" s="16" t="s">
        <v>54</v>
      </c>
      <c r="E73" s="41" t="s">
        <v>1130</v>
      </c>
      <c r="F73" s="24" t="s">
        <v>67</v>
      </c>
    </row>
    <row r="74" spans="1:6" x14ac:dyDescent="0.25">
      <c r="A74" s="359">
        <v>43234</v>
      </c>
      <c r="B74" s="131" t="s">
        <v>12</v>
      </c>
      <c r="C74" s="420">
        <v>3776</v>
      </c>
      <c r="D74" s="16" t="s">
        <v>54</v>
      </c>
      <c r="E74" s="41" t="s">
        <v>2719</v>
      </c>
      <c r="F74" s="24" t="s">
        <v>67</v>
      </c>
    </row>
    <row r="75" spans="1:6" x14ac:dyDescent="0.25">
      <c r="A75" s="359">
        <v>43234</v>
      </c>
      <c r="B75" s="131" t="s">
        <v>12</v>
      </c>
      <c r="C75" s="420">
        <v>3789</v>
      </c>
      <c r="D75" s="16" t="s">
        <v>54</v>
      </c>
      <c r="E75" s="41" t="s">
        <v>2720</v>
      </c>
      <c r="F75" s="24" t="s">
        <v>67</v>
      </c>
    </row>
    <row r="76" spans="1:6" x14ac:dyDescent="0.25">
      <c r="A76" s="359">
        <v>43234</v>
      </c>
      <c r="B76" s="131" t="s">
        <v>12</v>
      </c>
      <c r="C76" s="420">
        <v>3795</v>
      </c>
      <c r="D76" s="16" t="s">
        <v>54</v>
      </c>
      <c r="E76" s="41" t="s">
        <v>1130</v>
      </c>
      <c r="F76" s="24" t="s">
        <v>67</v>
      </c>
    </row>
    <row r="77" spans="1:6" x14ac:dyDescent="0.25">
      <c r="A77" s="359">
        <v>43234</v>
      </c>
      <c r="B77" s="131" t="s">
        <v>12</v>
      </c>
      <c r="C77" s="420">
        <v>3808</v>
      </c>
      <c r="D77" s="16" t="s">
        <v>54</v>
      </c>
      <c r="E77" s="41" t="s">
        <v>2721</v>
      </c>
      <c r="F77" s="24" t="s">
        <v>67</v>
      </c>
    </row>
    <row r="78" spans="1:6" x14ac:dyDescent="0.25">
      <c r="A78" s="359">
        <v>43234</v>
      </c>
      <c r="B78" s="131" t="s">
        <v>12</v>
      </c>
      <c r="C78" s="420">
        <v>3861</v>
      </c>
      <c r="D78" s="16" t="s">
        <v>54</v>
      </c>
      <c r="E78" s="41" t="s">
        <v>1130</v>
      </c>
      <c r="F78" s="24" t="s">
        <v>67</v>
      </c>
    </row>
    <row r="79" spans="1:6" x14ac:dyDescent="0.25">
      <c r="A79" s="359">
        <v>43234</v>
      </c>
      <c r="B79" s="131" t="s">
        <v>12</v>
      </c>
      <c r="C79" s="420">
        <v>3912</v>
      </c>
      <c r="D79" s="16" t="s">
        <v>54</v>
      </c>
      <c r="E79" s="41" t="s">
        <v>1130</v>
      </c>
      <c r="F79" s="24" t="s">
        <v>67</v>
      </c>
    </row>
    <row r="80" spans="1:6" x14ac:dyDescent="0.25">
      <c r="A80" s="359">
        <v>43234</v>
      </c>
      <c r="B80" s="131" t="s">
        <v>12</v>
      </c>
      <c r="C80" s="420">
        <v>3915</v>
      </c>
      <c r="D80" s="16" t="s">
        <v>54</v>
      </c>
      <c r="E80" s="41" t="s">
        <v>1130</v>
      </c>
      <c r="F80" s="24" t="s">
        <v>67</v>
      </c>
    </row>
    <row r="81" spans="1:6" x14ac:dyDescent="0.25">
      <c r="A81" s="359">
        <v>43234</v>
      </c>
      <c r="B81" s="131" t="s">
        <v>12</v>
      </c>
      <c r="C81" s="420">
        <v>3920</v>
      </c>
      <c r="D81" s="16" t="s">
        <v>54</v>
      </c>
      <c r="E81" s="41" t="s">
        <v>2722</v>
      </c>
      <c r="F81" s="24" t="s">
        <v>67</v>
      </c>
    </row>
    <row r="82" spans="1:6" x14ac:dyDescent="0.25">
      <c r="A82" s="359">
        <v>43234</v>
      </c>
      <c r="B82" s="131" t="s">
        <v>12</v>
      </c>
      <c r="C82" s="420">
        <v>3924</v>
      </c>
      <c r="D82" s="16" t="s">
        <v>54</v>
      </c>
      <c r="E82" s="41" t="s">
        <v>2723</v>
      </c>
      <c r="F82" s="24" t="s">
        <v>67</v>
      </c>
    </row>
    <row r="83" spans="1:6" x14ac:dyDescent="0.25">
      <c r="A83" s="359">
        <v>43234</v>
      </c>
      <c r="B83" s="131" t="s">
        <v>12</v>
      </c>
      <c r="C83" s="420">
        <v>3928</v>
      </c>
      <c r="D83" s="16" t="s">
        <v>54</v>
      </c>
      <c r="E83" s="41" t="s">
        <v>2724</v>
      </c>
      <c r="F83" s="24" t="s">
        <v>67</v>
      </c>
    </row>
    <row r="84" spans="1:6" x14ac:dyDescent="0.25">
      <c r="A84" s="359">
        <v>43234</v>
      </c>
      <c r="B84" s="131" t="s">
        <v>12</v>
      </c>
      <c r="C84" s="420">
        <v>3943</v>
      </c>
      <c r="D84" s="16" t="s">
        <v>54</v>
      </c>
      <c r="E84" s="41" t="s">
        <v>2725</v>
      </c>
      <c r="F84" s="24" t="s">
        <v>67</v>
      </c>
    </row>
    <row r="85" spans="1:6" x14ac:dyDescent="0.25">
      <c r="A85" s="359">
        <v>43234</v>
      </c>
      <c r="B85" s="131" t="s">
        <v>12</v>
      </c>
      <c r="C85" s="420">
        <v>3960</v>
      </c>
      <c r="D85" s="16" t="s">
        <v>54</v>
      </c>
      <c r="E85" s="41" t="s">
        <v>2726</v>
      </c>
      <c r="F85" s="24" t="s">
        <v>67</v>
      </c>
    </row>
    <row r="86" spans="1:6" x14ac:dyDescent="0.25">
      <c r="A86" s="359">
        <v>43234</v>
      </c>
      <c r="B86" s="131" t="s">
        <v>12</v>
      </c>
      <c r="C86" s="420">
        <v>4008</v>
      </c>
      <c r="D86" s="16" t="s">
        <v>54</v>
      </c>
      <c r="E86" s="41" t="s">
        <v>2727</v>
      </c>
      <c r="F86" s="24" t="s">
        <v>67</v>
      </c>
    </row>
    <row r="87" spans="1:6" x14ac:dyDescent="0.25">
      <c r="A87" s="359">
        <v>43234</v>
      </c>
      <c r="B87" s="131" t="s">
        <v>12</v>
      </c>
      <c r="C87" s="420">
        <v>4009</v>
      </c>
      <c r="D87" s="16" t="s">
        <v>54</v>
      </c>
      <c r="E87" s="41" t="s">
        <v>2728</v>
      </c>
      <c r="F87" s="24" t="s">
        <v>67</v>
      </c>
    </row>
    <row r="88" spans="1:6" x14ac:dyDescent="0.25">
      <c r="A88" s="359">
        <v>43234</v>
      </c>
      <c r="B88" s="131" t="s">
        <v>12</v>
      </c>
      <c r="C88" s="420">
        <v>4040</v>
      </c>
      <c r="D88" s="16" t="s">
        <v>54</v>
      </c>
      <c r="E88" s="41" t="s">
        <v>2729</v>
      </c>
      <c r="F88" s="24" t="s">
        <v>67</v>
      </c>
    </row>
    <row r="89" spans="1:6" x14ac:dyDescent="0.25">
      <c r="A89" s="359">
        <v>43234</v>
      </c>
      <c r="B89" s="131" t="s">
        <v>12</v>
      </c>
      <c r="C89" s="420">
        <v>4041</v>
      </c>
      <c r="D89" s="16" t="s">
        <v>54</v>
      </c>
      <c r="E89" s="41" t="s">
        <v>2730</v>
      </c>
      <c r="F89" s="24" t="s">
        <v>67</v>
      </c>
    </row>
    <row r="90" spans="1:6" x14ac:dyDescent="0.25">
      <c r="A90" s="359">
        <v>43234</v>
      </c>
      <c r="B90" s="131" t="s">
        <v>12</v>
      </c>
      <c r="C90" s="420">
        <v>4147</v>
      </c>
      <c r="D90" s="16" t="s">
        <v>54</v>
      </c>
      <c r="E90" s="41" t="s">
        <v>2731</v>
      </c>
      <c r="F90" s="24" t="s">
        <v>67</v>
      </c>
    </row>
    <row r="91" spans="1:6" x14ac:dyDescent="0.25">
      <c r="A91" s="359">
        <v>43234</v>
      </c>
      <c r="B91" s="131" t="s">
        <v>12</v>
      </c>
      <c r="C91" s="420">
        <v>4168</v>
      </c>
      <c r="D91" s="16" t="s">
        <v>54</v>
      </c>
      <c r="E91" s="41" t="s">
        <v>2732</v>
      </c>
      <c r="F91" s="24" t="s">
        <v>67</v>
      </c>
    </row>
    <row r="92" spans="1:6" x14ac:dyDescent="0.25">
      <c r="A92" s="359">
        <v>43234</v>
      </c>
      <c r="B92" s="131" t="s">
        <v>12</v>
      </c>
      <c r="C92" s="420">
        <v>4185</v>
      </c>
      <c r="D92" s="16" t="s">
        <v>54</v>
      </c>
      <c r="E92" s="41" t="s">
        <v>2733</v>
      </c>
      <c r="F92" s="24" t="s">
        <v>67</v>
      </c>
    </row>
    <row r="93" spans="1:6" x14ac:dyDescent="0.25">
      <c r="A93" s="359">
        <v>43234</v>
      </c>
      <c r="B93" s="131" t="s">
        <v>12</v>
      </c>
      <c r="C93" s="420">
        <v>4186</v>
      </c>
      <c r="D93" s="16" t="s">
        <v>54</v>
      </c>
      <c r="E93" s="41" t="s">
        <v>2734</v>
      </c>
      <c r="F93" s="24" t="s">
        <v>67</v>
      </c>
    </row>
    <row r="94" spans="1:6" x14ac:dyDescent="0.25">
      <c r="A94" s="359">
        <v>43234</v>
      </c>
      <c r="B94" s="131" t="s">
        <v>12</v>
      </c>
      <c r="C94" s="420">
        <v>4231</v>
      </c>
      <c r="D94" s="16" t="s">
        <v>54</v>
      </c>
      <c r="E94" s="41" t="s">
        <v>2735</v>
      </c>
      <c r="F94" s="24" t="s">
        <v>67</v>
      </c>
    </row>
    <row r="95" spans="1:6" x14ac:dyDescent="0.25">
      <c r="A95" s="359">
        <v>43234</v>
      </c>
      <c r="B95" s="131" t="s">
        <v>12</v>
      </c>
      <c r="C95" s="420">
        <v>4241</v>
      </c>
      <c r="D95" s="16" t="s">
        <v>54</v>
      </c>
      <c r="E95" s="41" t="s">
        <v>2736</v>
      </c>
      <c r="F95" s="24" t="s">
        <v>67</v>
      </c>
    </row>
    <row r="96" spans="1:6" x14ac:dyDescent="0.25">
      <c r="A96" s="359">
        <v>43234</v>
      </c>
      <c r="B96" s="131" t="s">
        <v>12</v>
      </c>
      <c r="C96" s="420">
        <v>4269</v>
      </c>
      <c r="D96" s="16" t="s">
        <v>54</v>
      </c>
      <c r="E96" s="41" t="s">
        <v>2737</v>
      </c>
      <c r="F96" s="24" t="s">
        <v>67</v>
      </c>
    </row>
    <row r="97" spans="1:76" x14ac:dyDescent="0.25">
      <c r="A97" s="359">
        <v>43234</v>
      </c>
      <c r="B97" s="131" t="s">
        <v>12</v>
      </c>
      <c r="C97" s="420">
        <v>4277</v>
      </c>
      <c r="D97" s="16" t="s">
        <v>54</v>
      </c>
      <c r="E97" s="41" t="s">
        <v>2738</v>
      </c>
      <c r="F97" s="24" t="s">
        <v>67</v>
      </c>
    </row>
    <row r="98" spans="1:76" x14ac:dyDescent="0.25">
      <c r="A98" s="359">
        <v>43234</v>
      </c>
      <c r="B98" s="131" t="s">
        <v>12</v>
      </c>
      <c r="C98" s="420">
        <v>4284</v>
      </c>
      <c r="D98" s="16" t="s">
        <v>54</v>
      </c>
      <c r="E98" s="41" t="s">
        <v>2739</v>
      </c>
      <c r="F98" s="24" t="s">
        <v>67</v>
      </c>
    </row>
    <row r="99" spans="1:76" x14ac:dyDescent="0.25">
      <c r="A99" s="359">
        <v>43234</v>
      </c>
      <c r="B99" s="131" t="s">
        <v>12</v>
      </c>
      <c r="C99" s="420">
        <v>4296</v>
      </c>
      <c r="D99" s="16" t="s">
        <v>54</v>
      </c>
      <c r="E99" s="41" t="s">
        <v>2740</v>
      </c>
      <c r="F99" s="24" t="s">
        <v>67</v>
      </c>
    </row>
    <row r="100" spans="1:76" x14ac:dyDescent="0.25">
      <c r="A100" s="359">
        <v>43234</v>
      </c>
      <c r="B100" s="131" t="s">
        <v>12</v>
      </c>
      <c r="C100" s="420">
        <v>4300</v>
      </c>
      <c r="D100" s="16" t="s">
        <v>54</v>
      </c>
      <c r="E100" s="41" t="s">
        <v>2739</v>
      </c>
      <c r="F100" s="24" t="s">
        <v>67</v>
      </c>
    </row>
    <row r="101" spans="1:76" x14ac:dyDescent="0.25">
      <c r="A101" s="16"/>
      <c r="B101" s="131" t="s">
        <v>12</v>
      </c>
      <c r="C101" s="425">
        <v>4302</v>
      </c>
      <c r="D101" s="223" t="s">
        <v>54</v>
      </c>
      <c r="E101" s="426" t="s">
        <v>2741</v>
      </c>
      <c r="F101" s="31" t="s">
        <v>67</v>
      </c>
    </row>
    <row r="102" spans="1:76" x14ac:dyDescent="0.25">
      <c r="A102" s="359">
        <v>43234</v>
      </c>
      <c r="B102" s="131" t="s">
        <v>12</v>
      </c>
      <c r="C102" s="368">
        <v>4302</v>
      </c>
      <c r="D102" s="16" t="s">
        <v>54</v>
      </c>
      <c r="E102" s="41" t="s">
        <v>2742</v>
      </c>
      <c r="F102" s="24" t="s">
        <v>67</v>
      </c>
      <c r="G102" s="86"/>
      <c r="H102" s="422"/>
      <c r="BX102" s="11"/>
    </row>
    <row r="103" spans="1:76" x14ac:dyDescent="0.25">
      <c r="A103" s="359">
        <v>43234</v>
      </c>
      <c r="B103" s="131" t="s">
        <v>12</v>
      </c>
      <c r="C103" s="420">
        <v>4330</v>
      </c>
      <c r="D103" s="16" t="s">
        <v>54</v>
      </c>
      <c r="E103" s="41" t="s">
        <v>2743</v>
      </c>
      <c r="F103" s="24" t="s">
        <v>67</v>
      </c>
    </row>
    <row r="104" spans="1:76" x14ac:dyDescent="0.25">
      <c r="A104" s="359">
        <v>43234</v>
      </c>
      <c r="B104" s="131" t="s">
        <v>12</v>
      </c>
      <c r="C104" s="420">
        <v>4345</v>
      </c>
      <c r="D104" s="16" t="s">
        <v>54</v>
      </c>
      <c r="E104" s="41" t="s">
        <v>2744</v>
      </c>
      <c r="F104" s="24" t="s">
        <v>67</v>
      </c>
    </row>
    <row r="105" spans="1:76" x14ac:dyDescent="0.25">
      <c r="A105" s="359">
        <v>43234</v>
      </c>
      <c r="B105" s="131" t="s">
        <v>12</v>
      </c>
      <c r="C105" s="420">
        <v>4493</v>
      </c>
      <c r="D105" s="16" t="s">
        <v>54</v>
      </c>
      <c r="E105" s="41" t="s">
        <v>2745</v>
      </c>
      <c r="F105" s="24" t="s">
        <v>67</v>
      </c>
    </row>
    <row r="106" spans="1:76" x14ac:dyDescent="0.25">
      <c r="A106" s="359">
        <v>43234</v>
      </c>
      <c r="B106" s="131" t="s">
        <v>12</v>
      </c>
      <c r="C106" s="420">
        <v>4606</v>
      </c>
      <c r="D106" s="16" t="s">
        <v>54</v>
      </c>
      <c r="E106" s="41" t="s">
        <v>2746</v>
      </c>
      <c r="F106" s="24" t="s">
        <v>67</v>
      </c>
    </row>
    <row r="107" spans="1:76" x14ac:dyDescent="0.25">
      <c r="A107" s="359">
        <v>43234</v>
      </c>
      <c r="B107" s="131" t="s">
        <v>12</v>
      </c>
      <c r="C107" s="420">
        <v>4729</v>
      </c>
      <c r="D107" s="16" t="s">
        <v>54</v>
      </c>
      <c r="E107" s="41" t="s">
        <v>2747</v>
      </c>
      <c r="F107" s="24" t="s">
        <v>67</v>
      </c>
    </row>
    <row r="108" spans="1:76" x14ac:dyDescent="0.25">
      <c r="A108" s="359">
        <v>43234</v>
      </c>
      <c r="B108" s="131" t="s">
        <v>12</v>
      </c>
      <c r="C108" s="420">
        <v>4761</v>
      </c>
      <c r="D108" s="16" t="s">
        <v>54</v>
      </c>
      <c r="E108" s="41" t="s">
        <v>2710</v>
      </c>
      <c r="F108" s="24" t="s">
        <v>67</v>
      </c>
    </row>
    <row r="109" spans="1:76" x14ac:dyDescent="0.25">
      <c r="A109" s="359">
        <v>43234</v>
      </c>
      <c r="B109" s="131" t="s">
        <v>12</v>
      </c>
      <c r="C109" s="420">
        <v>4762</v>
      </c>
      <c r="D109" s="16" t="s">
        <v>54</v>
      </c>
      <c r="E109" s="41" t="s">
        <v>2748</v>
      </c>
      <c r="F109" s="24" t="s">
        <v>67</v>
      </c>
    </row>
    <row r="110" spans="1:76" x14ac:dyDescent="0.25">
      <c r="A110" s="359">
        <v>43234</v>
      </c>
      <c r="B110" s="131" t="s">
        <v>12</v>
      </c>
      <c r="C110" s="420">
        <v>4792</v>
      </c>
      <c r="D110" s="16" t="s">
        <v>54</v>
      </c>
      <c r="E110" s="41" t="s">
        <v>2749</v>
      </c>
      <c r="F110" s="24" t="s">
        <v>67</v>
      </c>
    </row>
    <row r="111" spans="1:76" x14ac:dyDescent="0.25">
      <c r="A111" s="359">
        <v>43234</v>
      </c>
      <c r="B111" s="131" t="s">
        <v>12</v>
      </c>
      <c r="C111" s="420">
        <v>4817</v>
      </c>
      <c r="D111" s="16" t="s">
        <v>54</v>
      </c>
      <c r="E111" s="41" t="s">
        <v>2750</v>
      </c>
      <c r="F111" s="24" t="s">
        <v>67</v>
      </c>
    </row>
    <row r="112" spans="1:76" x14ac:dyDescent="0.25">
      <c r="A112" s="359">
        <v>43234</v>
      </c>
      <c r="B112" s="131" t="s">
        <v>12</v>
      </c>
      <c r="C112" s="420">
        <v>4855</v>
      </c>
      <c r="D112" s="16" t="s">
        <v>54</v>
      </c>
      <c r="E112" s="41" t="s">
        <v>2751</v>
      </c>
      <c r="F112" s="24" t="s">
        <v>67</v>
      </c>
    </row>
    <row r="113" spans="1:76" x14ac:dyDescent="0.25">
      <c r="A113" s="359">
        <v>43234</v>
      </c>
      <c r="B113" s="131" t="s">
        <v>12</v>
      </c>
      <c r="C113" s="420">
        <v>5015</v>
      </c>
      <c r="D113" s="16" t="s">
        <v>54</v>
      </c>
      <c r="E113" s="41" t="s">
        <v>2752</v>
      </c>
      <c r="F113" s="24" t="s">
        <v>67</v>
      </c>
    </row>
    <row r="114" spans="1:76" x14ac:dyDescent="0.25">
      <c r="A114" s="16"/>
      <c r="B114" s="131" t="s">
        <v>12</v>
      </c>
      <c r="C114" s="425">
        <v>5118</v>
      </c>
      <c r="D114" s="223" t="s">
        <v>54</v>
      </c>
      <c r="E114" s="426" t="s">
        <v>2753</v>
      </c>
      <c r="F114" s="31" t="s">
        <v>67</v>
      </c>
    </row>
    <row r="115" spans="1:76" x14ac:dyDescent="0.25">
      <c r="A115" s="359">
        <v>43234</v>
      </c>
      <c r="B115" s="131" t="s">
        <v>12</v>
      </c>
      <c r="C115" s="420">
        <v>5153</v>
      </c>
      <c r="D115" s="16" t="s">
        <v>54</v>
      </c>
      <c r="E115" s="41" t="s">
        <v>2754</v>
      </c>
      <c r="F115" s="24" t="s">
        <v>67</v>
      </c>
    </row>
    <row r="116" spans="1:76" x14ac:dyDescent="0.25">
      <c r="A116" s="359">
        <v>43234</v>
      </c>
      <c r="B116" s="131" t="s">
        <v>12</v>
      </c>
      <c r="C116" s="420">
        <v>5411</v>
      </c>
      <c r="D116" s="16" t="s">
        <v>54</v>
      </c>
      <c r="E116" s="41" t="s">
        <v>2755</v>
      </c>
      <c r="F116" s="24" t="s">
        <v>67</v>
      </c>
    </row>
    <row r="117" spans="1:76" x14ac:dyDescent="0.25">
      <c r="A117" s="359">
        <v>43234</v>
      </c>
      <c r="B117" s="131" t="s">
        <v>12</v>
      </c>
      <c r="C117" s="420">
        <v>5555</v>
      </c>
      <c r="D117" s="16" t="s">
        <v>54</v>
      </c>
      <c r="E117" s="41" t="s">
        <v>2756</v>
      </c>
      <c r="F117" s="24" t="s">
        <v>67</v>
      </c>
    </row>
    <row r="118" spans="1:76" x14ac:dyDescent="0.25">
      <c r="A118" s="359">
        <v>43234</v>
      </c>
      <c r="B118" s="131" t="s">
        <v>12</v>
      </c>
      <c r="C118" s="420">
        <v>5564</v>
      </c>
      <c r="D118" s="16" t="s">
        <v>54</v>
      </c>
      <c r="E118" s="41" t="s">
        <v>2679</v>
      </c>
      <c r="F118" s="24" t="s">
        <v>67</v>
      </c>
    </row>
    <row r="119" spans="1:76" x14ac:dyDescent="0.25">
      <c r="A119" s="359">
        <v>43234</v>
      </c>
      <c r="B119" s="131" t="s">
        <v>12</v>
      </c>
      <c r="C119" s="420">
        <v>5620</v>
      </c>
      <c r="D119" s="16" t="s">
        <v>54</v>
      </c>
      <c r="E119" s="41" t="s">
        <v>2695</v>
      </c>
      <c r="F119" s="24" t="s">
        <v>67</v>
      </c>
    </row>
    <row r="120" spans="1:76" x14ac:dyDescent="0.25">
      <c r="A120" s="359">
        <v>43234</v>
      </c>
      <c r="B120" s="131" t="s">
        <v>12</v>
      </c>
      <c r="C120" s="420">
        <v>5621</v>
      </c>
      <c r="D120" s="16" t="s">
        <v>54</v>
      </c>
      <c r="E120" s="41" t="s">
        <v>2695</v>
      </c>
      <c r="F120" s="24" t="s">
        <v>67</v>
      </c>
    </row>
    <row r="121" spans="1:76" x14ac:dyDescent="0.25">
      <c r="A121" s="359">
        <v>43234</v>
      </c>
      <c r="B121" s="131" t="s">
        <v>12</v>
      </c>
      <c r="C121" s="420">
        <v>5623</v>
      </c>
      <c r="D121" s="16" t="s">
        <v>54</v>
      </c>
      <c r="E121" s="41" t="s">
        <v>2695</v>
      </c>
      <c r="F121" s="24" t="s">
        <v>67</v>
      </c>
    </row>
    <row r="122" spans="1:76" x14ac:dyDescent="0.25">
      <c r="A122" s="359">
        <v>43234</v>
      </c>
      <c r="B122" s="131" t="s">
        <v>12</v>
      </c>
      <c r="C122" s="420">
        <v>5625</v>
      </c>
      <c r="D122" s="16" t="s">
        <v>54</v>
      </c>
      <c r="E122" s="41" t="s">
        <v>2757</v>
      </c>
      <c r="F122" s="24" t="s">
        <v>67</v>
      </c>
    </row>
    <row r="123" spans="1:76" x14ac:dyDescent="0.25">
      <c r="A123" s="359">
        <v>43234</v>
      </c>
      <c r="B123" s="131" t="s">
        <v>12</v>
      </c>
      <c r="C123" s="420">
        <v>5830</v>
      </c>
      <c r="D123" s="16" t="s">
        <v>54</v>
      </c>
      <c r="E123" s="41" t="s">
        <v>2758</v>
      </c>
      <c r="F123" s="24" t="s">
        <v>67</v>
      </c>
    </row>
    <row r="124" spans="1:76" x14ac:dyDescent="0.25">
      <c r="A124" s="359">
        <v>43234</v>
      </c>
      <c r="B124" s="131" t="s">
        <v>12</v>
      </c>
      <c r="C124" s="420">
        <v>5907</v>
      </c>
      <c r="D124" s="16" t="s">
        <v>54</v>
      </c>
      <c r="E124" s="41" t="s">
        <v>2745</v>
      </c>
      <c r="F124" s="24" t="s">
        <v>67</v>
      </c>
    </row>
    <row r="125" spans="1:76" x14ac:dyDescent="0.25">
      <c r="A125" s="359">
        <v>43234</v>
      </c>
      <c r="B125" s="131" t="s">
        <v>12</v>
      </c>
      <c r="C125" s="420">
        <v>18866</v>
      </c>
      <c r="D125" s="16" t="s">
        <v>54</v>
      </c>
      <c r="E125" s="41" t="s">
        <v>2759</v>
      </c>
      <c r="F125" s="24" t="s">
        <v>67</v>
      </c>
    </row>
    <row r="126" spans="1:76" x14ac:dyDescent="0.25">
      <c r="A126" s="359">
        <v>43234</v>
      </c>
      <c r="B126" s="131" t="s">
        <v>12</v>
      </c>
      <c r="C126" s="420">
        <v>21244</v>
      </c>
      <c r="D126" s="16" t="s">
        <v>54</v>
      </c>
      <c r="E126" s="41" t="s">
        <v>2760</v>
      </c>
      <c r="F126" s="24" t="s">
        <v>67</v>
      </c>
    </row>
    <row r="127" spans="1:76" x14ac:dyDescent="0.25">
      <c r="A127" s="359">
        <v>43234</v>
      </c>
      <c r="B127" s="131" t="s">
        <v>12</v>
      </c>
      <c r="C127" s="39">
        <v>21246</v>
      </c>
      <c r="D127" s="16" t="s">
        <v>54</v>
      </c>
      <c r="E127" s="41" t="s">
        <v>2761</v>
      </c>
      <c r="F127" s="24" t="s">
        <v>67</v>
      </c>
      <c r="G127" s="86"/>
      <c r="H127" s="422"/>
      <c r="BX127" s="11"/>
    </row>
    <row r="128" spans="1:76" x14ac:dyDescent="0.25">
      <c r="A128" s="359">
        <v>43234</v>
      </c>
      <c r="B128" s="131" t="s">
        <v>12</v>
      </c>
      <c r="C128" s="420">
        <v>21594</v>
      </c>
      <c r="D128" s="16" t="s">
        <v>54</v>
      </c>
      <c r="E128" s="41" t="s">
        <v>2762</v>
      </c>
      <c r="F128" s="24" t="s">
        <v>67</v>
      </c>
    </row>
    <row r="129" spans="1:76" x14ac:dyDescent="0.25">
      <c r="A129" s="359">
        <v>43234</v>
      </c>
      <c r="B129" s="131" t="s">
        <v>12</v>
      </c>
      <c r="C129" s="420">
        <v>21595</v>
      </c>
      <c r="D129" s="16" t="s">
        <v>54</v>
      </c>
      <c r="E129" s="41" t="s">
        <v>2762</v>
      </c>
      <c r="F129" s="24" t="s">
        <v>67</v>
      </c>
    </row>
    <row r="130" spans="1:76" x14ac:dyDescent="0.25">
      <c r="A130" s="359">
        <v>43234</v>
      </c>
      <c r="B130" s="131" t="s">
        <v>12</v>
      </c>
      <c r="C130" s="420">
        <v>23907</v>
      </c>
      <c r="D130" s="16" t="s">
        <v>54</v>
      </c>
      <c r="E130" s="41" t="s">
        <v>2763</v>
      </c>
      <c r="F130" s="24" t="s">
        <v>67</v>
      </c>
    </row>
    <row r="131" spans="1:76" x14ac:dyDescent="0.25">
      <c r="A131" s="359">
        <v>43234</v>
      </c>
      <c r="B131" s="131" t="s">
        <v>12</v>
      </c>
      <c r="C131" s="420">
        <v>32576</v>
      </c>
      <c r="D131" s="16" t="s">
        <v>54</v>
      </c>
      <c r="E131" s="41" t="s">
        <v>2679</v>
      </c>
      <c r="F131" s="24" t="s">
        <v>67</v>
      </c>
    </row>
    <row r="132" spans="1:76" x14ac:dyDescent="0.25">
      <c r="A132" s="359">
        <v>43234</v>
      </c>
      <c r="B132" s="131" t="s">
        <v>12</v>
      </c>
      <c r="C132" s="420">
        <v>33151</v>
      </c>
      <c r="D132" s="16" t="s">
        <v>54</v>
      </c>
      <c r="E132" s="41" t="s">
        <v>2764</v>
      </c>
      <c r="F132" s="24" t="s">
        <v>67</v>
      </c>
    </row>
    <row r="133" spans="1:76" x14ac:dyDescent="0.25">
      <c r="A133" s="359">
        <v>43234</v>
      </c>
      <c r="B133" s="131" t="s">
        <v>12</v>
      </c>
      <c r="C133" s="420">
        <v>33152</v>
      </c>
      <c r="D133" s="16" t="s">
        <v>54</v>
      </c>
      <c r="E133" s="41" t="s">
        <v>2765</v>
      </c>
      <c r="F133" s="24" t="s">
        <v>67</v>
      </c>
    </row>
    <row r="134" spans="1:76" x14ac:dyDescent="0.25">
      <c r="A134" s="359">
        <v>43234</v>
      </c>
      <c r="B134" s="131" t="s">
        <v>12</v>
      </c>
      <c r="C134" s="420">
        <v>37642</v>
      </c>
      <c r="D134" s="16" t="s">
        <v>54</v>
      </c>
      <c r="E134" s="41" t="s">
        <v>2766</v>
      </c>
      <c r="F134" s="24" t="s">
        <v>67</v>
      </c>
    </row>
    <row r="135" spans="1:76" x14ac:dyDescent="0.25">
      <c r="A135" s="359">
        <v>43234</v>
      </c>
      <c r="B135" s="131" t="s">
        <v>12</v>
      </c>
      <c r="C135" s="420">
        <v>38502</v>
      </c>
      <c r="D135" s="16" t="s">
        <v>54</v>
      </c>
      <c r="E135" s="41" t="s">
        <v>2767</v>
      </c>
      <c r="F135" s="24" t="s">
        <v>67</v>
      </c>
    </row>
    <row r="136" spans="1:76" x14ac:dyDescent="0.25">
      <c r="A136" s="359">
        <v>43234</v>
      </c>
      <c r="B136" s="131" t="s">
        <v>12</v>
      </c>
      <c r="C136" s="420">
        <v>130610</v>
      </c>
      <c r="D136" s="16" t="s">
        <v>54</v>
      </c>
      <c r="E136" s="41" t="s">
        <v>2768</v>
      </c>
      <c r="F136" s="24" t="s">
        <v>67</v>
      </c>
    </row>
    <row r="137" spans="1:76" x14ac:dyDescent="0.25">
      <c r="A137" s="359">
        <v>43234</v>
      </c>
      <c r="B137" s="131" t="s">
        <v>12</v>
      </c>
      <c r="C137" s="420">
        <v>130612</v>
      </c>
      <c r="D137" s="16" t="s">
        <v>54</v>
      </c>
      <c r="E137" s="41" t="s">
        <v>2769</v>
      </c>
      <c r="F137" s="24" t="s">
        <v>67</v>
      </c>
    </row>
    <row r="138" spans="1:76" x14ac:dyDescent="0.25">
      <c r="A138" s="359">
        <v>43234</v>
      </c>
      <c r="B138" s="131" t="s">
        <v>12</v>
      </c>
      <c r="C138" s="420">
        <v>215993</v>
      </c>
      <c r="D138" s="16" t="s">
        <v>54</v>
      </c>
      <c r="E138" s="41" t="s">
        <v>2770</v>
      </c>
      <c r="F138" s="24" t="s">
        <v>67</v>
      </c>
    </row>
    <row r="139" spans="1:76" x14ac:dyDescent="0.25">
      <c r="A139" s="359">
        <v>43234</v>
      </c>
      <c r="B139" s="131" t="s">
        <v>12</v>
      </c>
      <c r="C139" s="420">
        <v>2613863</v>
      </c>
      <c r="D139" s="16" t="s">
        <v>54</v>
      </c>
      <c r="E139" s="41" t="s">
        <v>2771</v>
      </c>
      <c r="F139" s="24" t="s">
        <v>67</v>
      </c>
    </row>
    <row r="140" spans="1:76" x14ac:dyDescent="0.25">
      <c r="A140" s="359">
        <v>43234</v>
      </c>
      <c r="B140" s="131" t="s">
        <v>12</v>
      </c>
      <c r="C140" s="420">
        <v>32621606</v>
      </c>
      <c r="D140" s="16" t="s">
        <v>54</v>
      </c>
      <c r="E140" s="41" t="s">
        <v>2772</v>
      </c>
      <c r="F140" s="24" t="s">
        <v>67</v>
      </c>
    </row>
    <row r="141" spans="1:76" x14ac:dyDescent="0.25">
      <c r="A141" s="359">
        <v>43234</v>
      </c>
      <c r="B141" s="131" t="s">
        <v>12</v>
      </c>
      <c r="C141" s="420" t="s">
        <v>2773</v>
      </c>
      <c r="D141" s="16" t="s">
        <v>54</v>
      </c>
      <c r="E141" s="41" t="s">
        <v>496</v>
      </c>
      <c r="F141" s="24" t="s">
        <v>67</v>
      </c>
      <c r="G141" s="452"/>
    </row>
    <row r="142" spans="1:76" x14ac:dyDescent="0.25">
      <c r="A142" s="359">
        <v>43234</v>
      </c>
      <c r="B142" s="131" t="s">
        <v>12</v>
      </c>
      <c r="C142" s="420" t="s">
        <v>2774</v>
      </c>
      <c r="D142" s="16" t="s">
        <v>54</v>
      </c>
      <c r="E142" s="41" t="s">
        <v>2775</v>
      </c>
      <c r="F142" s="24" t="s">
        <v>67</v>
      </c>
    </row>
    <row r="143" spans="1:76" x14ac:dyDescent="0.25">
      <c r="A143" s="315">
        <v>42888</v>
      </c>
      <c r="B143" s="131" t="s">
        <v>12</v>
      </c>
      <c r="C143" s="423" t="s">
        <v>2776</v>
      </c>
      <c r="D143" s="16" t="s">
        <v>54</v>
      </c>
      <c r="E143" s="41" t="s">
        <v>2777</v>
      </c>
      <c r="F143" s="24" t="s">
        <v>67</v>
      </c>
      <c r="G143" s="424"/>
      <c r="BX143" s="11"/>
    </row>
    <row r="144" spans="1:76" x14ac:dyDescent="0.25">
      <c r="A144" s="359">
        <v>43234</v>
      </c>
      <c r="B144" s="131" t="s">
        <v>12</v>
      </c>
      <c r="C144" s="420" t="s">
        <v>2778</v>
      </c>
      <c r="D144" s="16" t="s">
        <v>54</v>
      </c>
      <c r="E144" s="41" t="s">
        <v>2779</v>
      </c>
      <c r="F144" s="24" t="s">
        <v>67</v>
      </c>
    </row>
    <row r="145" spans="1:76" x14ac:dyDescent="0.25">
      <c r="A145" s="359">
        <v>43234</v>
      </c>
      <c r="B145" s="131" t="s">
        <v>12</v>
      </c>
      <c r="C145" s="420" t="s">
        <v>2780</v>
      </c>
      <c r="D145" s="16" t="s">
        <v>54</v>
      </c>
      <c r="E145" s="41" t="s">
        <v>2779</v>
      </c>
      <c r="F145" s="24" t="s">
        <v>67</v>
      </c>
    </row>
    <row r="146" spans="1:76" x14ac:dyDescent="0.25">
      <c r="A146" s="359">
        <v>43234</v>
      </c>
      <c r="B146" s="131" t="s">
        <v>12</v>
      </c>
      <c r="C146" s="420" t="s">
        <v>2781</v>
      </c>
      <c r="D146" s="16" t="s">
        <v>54</v>
      </c>
      <c r="E146" s="41" t="s">
        <v>2782</v>
      </c>
      <c r="F146" s="24" t="s">
        <v>67</v>
      </c>
    </row>
    <row r="147" spans="1:76" x14ac:dyDescent="0.25">
      <c r="A147" s="88">
        <v>42395</v>
      </c>
      <c r="B147" s="131" t="s">
        <v>12</v>
      </c>
      <c r="C147" s="427" t="s">
        <v>82</v>
      </c>
      <c r="D147" s="16" t="s">
        <v>54</v>
      </c>
      <c r="E147" s="16" t="s">
        <v>2783</v>
      </c>
      <c r="F147" s="24" t="s">
        <v>67</v>
      </c>
      <c r="G147"/>
      <c r="BU147" s="11"/>
      <c r="BV147" s="11"/>
      <c r="BW147" s="11"/>
      <c r="BX147" s="11"/>
    </row>
    <row r="148" spans="1:76" x14ac:dyDescent="0.25">
      <c r="A148" s="16"/>
      <c r="B148" s="428"/>
      <c r="C148" s="429" t="s">
        <v>2784</v>
      </c>
      <c r="D148" s="223" t="s">
        <v>106</v>
      </c>
      <c r="E148" s="426" t="s">
        <v>2647</v>
      </c>
      <c r="F148" s="31" t="s">
        <v>67</v>
      </c>
      <c r="G148" s="452"/>
    </row>
    <row r="149" spans="1:76" x14ac:dyDescent="0.25">
      <c r="A149" s="223"/>
      <c r="B149" s="131" t="s">
        <v>12</v>
      </c>
      <c r="C149" s="421" t="s">
        <v>2785</v>
      </c>
      <c r="D149" s="223" t="s">
        <v>106</v>
      </c>
      <c r="E149" s="29" t="s">
        <v>952</v>
      </c>
      <c r="F149" s="31" t="s">
        <v>67</v>
      </c>
      <c r="G149" s="449"/>
    </row>
    <row r="150" spans="1:76" x14ac:dyDescent="0.25">
      <c r="A150" s="223"/>
      <c r="B150" s="131" t="s">
        <v>12</v>
      </c>
      <c r="C150" s="421" t="s">
        <v>2786</v>
      </c>
      <c r="D150" s="223" t="s">
        <v>54</v>
      </c>
      <c r="E150" s="29" t="s">
        <v>2787</v>
      </c>
      <c r="F150" s="24" t="s">
        <v>67</v>
      </c>
    </row>
    <row r="151" spans="1:76" x14ac:dyDescent="0.25">
      <c r="A151" s="223"/>
      <c r="B151" s="131" t="s">
        <v>12</v>
      </c>
      <c r="C151" s="421" t="s">
        <v>2788</v>
      </c>
      <c r="D151" s="223" t="s">
        <v>54</v>
      </c>
      <c r="E151" s="29" t="s">
        <v>952</v>
      </c>
      <c r="F151" s="24" t="s">
        <v>67</v>
      </c>
    </row>
    <row r="152" spans="1:76" x14ac:dyDescent="0.25">
      <c r="A152" s="315">
        <v>43035</v>
      </c>
      <c r="B152" s="131" t="s">
        <v>12</v>
      </c>
      <c r="C152" s="423" t="s">
        <v>2789</v>
      </c>
      <c r="D152" s="16" t="s">
        <v>106</v>
      </c>
      <c r="E152" s="41" t="str">
        <f>VLOOKUP(C152,'[1]L-F Filters'!$G$14:$H$5075,2,0)</f>
        <v>Oval Air Filter</v>
      </c>
      <c r="F152" s="24" t="s">
        <v>67</v>
      </c>
      <c r="G152" s="424"/>
      <c r="BX152" s="11"/>
    </row>
    <row r="153" spans="1:76" x14ac:dyDescent="0.25">
      <c r="A153" s="223"/>
      <c r="B153" s="131" t="s">
        <v>12</v>
      </c>
      <c r="C153" s="421" t="s">
        <v>2789</v>
      </c>
      <c r="D153" s="223" t="s">
        <v>54</v>
      </c>
      <c r="E153" s="29" t="s">
        <v>2790</v>
      </c>
      <c r="F153" s="24" t="s">
        <v>67</v>
      </c>
    </row>
    <row r="154" spans="1:76" x14ac:dyDescent="0.25">
      <c r="A154" s="16"/>
      <c r="B154" s="428"/>
      <c r="C154" s="425" t="s">
        <v>2791</v>
      </c>
      <c r="D154" s="223" t="s">
        <v>106</v>
      </c>
      <c r="E154" s="426" t="s">
        <v>952</v>
      </c>
      <c r="F154" s="31" t="s">
        <v>67</v>
      </c>
      <c r="G154" s="449"/>
    </row>
    <row r="155" spans="1:76" x14ac:dyDescent="0.25">
      <c r="A155" s="223"/>
      <c r="B155" s="131" t="s">
        <v>12</v>
      </c>
      <c r="C155" s="421" t="s">
        <v>2792</v>
      </c>
      <c r="D155" s="223" t="s">
        <v>54</v>
      </c>
      <c r="E155" s="29" t="s">
        <v>952</v>
      </c>
      <c r="F155" s="24" t="s">
        <v>67</v>
      </c>
    </row>
    <row r="156" spans="1:76" x14ac:dyDescent="0.25">
      <c r="A156" s="223"/>
      <c r="B156" s="131" t="s">
        <v>12</v>
      </c>
      <c r="C156" s="421" t="s">
        <v>2793</v>
      </c>
      <c r="D156" s="223" t="s">
        <v>106</v>
      </c>
      <c r="E156" s="29" t="s">
        <v>2647</v>
      </c>
      <c r="F156" s="24" t="s">
        <v>67</v>
      </c>
      <c r="G156" s="449"/>
    </row>
    <row r="157" spans="1:76" x14ac:dyDescent="0.25">
      <c r="A157" s="88">
        <v>42781</v>
      </c>
      <c r="B157" s="131" t="s">
        <v>12</v>
      </c>
      <c r="C157" s="423" t="s">
        <v>2794</v>
      </c>
      <c r="D157" s="16" t="s">
        <v>54</v>
      </c>
      <c r="E157" s="41" t="s">
        <v>2647</v>
      </c>
      <c r="F157" s="31" t="s">
        <v>67</v>
      </c>
      <c r="G157" s="424"/>
      <c r="BX157" s="11"/>
    </row>
    <row r="158" spans="1:76" x14ac:dyDescent="0.25">
      <c r="A158" s="223"/>
      <c r="B158" s="131" t="s">
        <v>12</v>
      </c>
      <c r="C158" s="421" t="s">
        <v>2794</v>
      </c>
      <c r="D158" s="223" t="s">
        <v>54</v>
      </c>
      <c r="E158" s="29" t="s">
        <v>2647</v>
      </c>
      <c r="F158" s="24" t="s">
        <v>67</v>
      </c>
    </row>
    <row r="159" spans="1:76" x14ac:dyDescent="0.25">
      <c r="A159" s="315">
        <v>43035</v>
      </c>
      <c r="B159" s="131" t="s">
        <v>12</v>
      </c>
      <c r="C159" s="423" t="s">
        <v>2795</v>
      </c>
      <c r="D159" s="16" t="s">
        <v>106</v>
      </c>
      <c r="E159" s="41" t="str">
        <f>VLOOKUP(C159,'[1]L-F Filters'!$G$14:$H$5075,2,0)</f>
        <v>Air Filter</v>
      </c>
      <c r="F159" s="24" t="s">
        <v>67</v>
      </c>
      <c r="G159" s="424"/>
      <c r="BX159" s="11"/>
    </row>
    <row r="160" spans="1:76" x14ac:dyDescent="0.25">
      <c r="A160" s="223"/>
      <c r="B160" s="131" t="s">
        <v>12</v>
      </c>
      <c r="C160" s="421" t="s">
        <v>2795</v>
      </c>
      <c r="D160" s="223" t="s">
        <v>54</v>
      </c>
      <c r="E160" s="29" t="s">
        <v>952</v>
      </c>
      <c r="F160" s="31" t="s">
        <v>67</v>
      </c>
    </row>
    <row r="161" spans="1:76" x14ac:dyDescent="0.25">
      <c r="A161" s="223"/>
      <c r="B161" s="131" t="s">
        <v>12</v>
      </c>
      <c r="C161" s="421" t="s">
        <v>2796</v>
      </c>
      <c r="D161" s="223" t="s">
        <v>54</v>
      </c>
      <c r="E161" s="29" t="s">
        <v>952</v>
      </c>
      <c r="F161" s="24" t="s">
        <v>67</v>
      </c>
    </row>
    <row r="162" spans="1:76" x14ac:dyDescent="0.25">
      <c r="A162" s="315">
        <v>43035</v>
      </c>
      <c r="B162" s="131" t="s">
        <v>12</v>
      </c>
      <c r="C162" s="423" t="s">
        <v>2797</v>
      </c>
      <c r="D162" s="16" t="s">
        <v>106</v>
      </c>
      <c r="E162" s="41" t="str">
        <f>VLOOKUP(C162,'[1]L-F Filters'!$G$14:$H$5075,2,0)</f>
        <v>Oval Air Filter</v>
      </c>
      <c r="F162" s="24" t="s">
        <v>67</v>
      </c>
      <c r="G162" s="424"/>
      <c r="BX162" s="11"/>
    </row>
    <row r="163" spans="1:76" x14ac:dyDescent="0.25">
      <c r="A163" s="223"/>
      <c r="B163" s="131" t="s">
        <v>12</v>
      </c>
      <c r="C163" s="421" t="s">
        <v>2797</v>
      </c>
      <c r="D163" s="223" t="s">
        <v>54</v>
      </c>
      <c r="E163" s="29" t="s">
        <v>2790</v>
      </c>
      <c r="F163" s="31" t="s">
        <v>67</v>
      </c>
    </row>
    <row r="164" spans="1:76" x14ac:dyDescent="0.25">
      <c r="A164" s="88">
        <v>42629</v>
      </c>
      <c r="B164" s="131" t="s">
        <v>12</v>
      </c>
      <c r="C164" s="410" t="s">
        <v>2798</v>
      </c>
      <c r="D164" s="16" t="s">
        <v>54</v>
      </c>
      <c r="E164" s="342" t="s">
        <v>2799</v>
      </c>
      <c r="F164" s="24" t="s">
        <v>67</v>
      </c>
      <c r="G164" s="419"/>
      <c r="BV164" s="11"/>
      <c r="BW164" s="11"/>
      <c r="BX164" s="11"/>
    </row>
    <row r="165" spans="1:76" x14ac:dyDescent="0.25">
      <c r="A165" s="315">
        <v>43035</v>
      </c>
      <c r="B165" s="131" t="s">
        <v>12</v>
      </c>
      <c r="C165" s="423" t="s">
        <v>2800</v>
      </c>
      <c r="D165" s="16" t="s">
        <v>106</v>
      </c>
      <c r="E165" s="41" t="str">
        <f>VLOOKUP(C165,'[1]L-F Filters'!$G$14:$H$5075,2,0)</f>
        <v>Flexible Panel Air Filter</v>
      </c>
      <c r="F165" s="24" t="s">
        <v>67</v>
      </c>
      <c r="G165" s="450"/>
      <c r="BX165" s="11"/>
    </row>
    <row r="166" spans="1:76" x14ac:dyDescent="0.25">
      <c r="A166" s="359">
        <v>43234</v>
      </c>
      <c r="B166" s="131" t="s">
        <v>12</v>
      </c>
      <c r="C166" s="420" t="s">
        <v>2801</v>
      </c>
      <c r="D166" s="16" t="s">
        <v>54</v>
      </c>
      <c r="E166" s="41" t="s">
        <v>2802</v>
      </c>
      <c r="F166" s="24" t="s">
        <v>67</v>
      </c>
    </row>
    <row r="167" spans="1:76" x14ac:dyDescent="0.25">
      <c r="A167" s="359">
        <v>43234</v>
      </c>
      <c r="B167" s="131" t="s">
        <v>12</v>
      </c>
      <c r="C167" s="420" t="s">
        <v>2803</v>
      </c>
      <c r="D167" s="16" t="s">
        <v>54</v>
      </c>
      <c r="E167" s="41" t="s">
        <v>2649</v>
      </c>
      <c r="F167" s="24" t="s">
        <v>67</v>
      </c>
    </row>
    <row r="168" spans="1:76" x14ac:dyDescent="0.25">
      <c r="A168" s="223"/>
      <c r="B168" s="131" t="s">
        <v>12</v>
      </c>
      <c r="C168" s="421" t="s">
        <v>2804</v>
      </c>
      <c r="D168" s="223" t="s">
        <v>54</v>
      </c>
      <c r="E168" s="29" t="s">
        <v>952</v>
      </c>
      <c r="F168" s="24" t="s">
        <v>67</v>
      </c>
    </row>
    <row r="169" spans="1:76" x14ac:dyDescent="0.25">
      <c r="A169" s="315">
        <v>43035</v>
      </c>
      <c r="B169" s="131" t="s">
        <v>12</v>
      </c>
      <c r="C169" s="423" t="s">
        <v>2805</v>
      </c>
      <c r="D169" s="16" t="s">
        <v>106</v>
      </c>
      <c r="E169" s="41" t="str">
        <f>VLOOKUP(C169,'[1]L-F Filters'!$G$14:$H$5075,2,0)</f>
        <v>Round Air Filter</v>
      </c>
      <c r="F169" s="24" t="s">
        <v>67</v>
      </c>
      <c r="G169" s="424"/>
      <c r="BX169" s="11"/>
    </row>
    <row r="170" spans="1:76" x14ac:dyDescent="0.25">
      <c r="A170" s="223"/>
      <c r="B170" s="131" t="s">
        <v>12</v>
      </c>
      <c r="C170" s="421" t="s">
        <v>2805</v>
      </c>
      <c r="D170" s="223" t="s">
        <v>54</v>
      </c>
      <c r="E170" s="29" t="s">
        <v>952</v>
      </c>
      <c r="F170" s="31" t="s">
        <v>67</v>
      </c>
    </row>
    <row r="171" spans="1:76" x14ac:dyDescent="0.25">
      <c r="A171" s="359">
        <v>43234</v>
      </c>
      <c r="B171" s="131" t="s">
        <v>12</v>
      </c>
      <c r="C171" s="420" t="s">
        <v>2806</v>
      </c>
      <c r="D171" s="16" t="s">
        <v>54</v>
      </c>
      <c r="E171" s="41" t="s">
        <v>2647</v>
      </c>
      <c r="F171" s="24" t="s">
        <v>67</v>
      </c>
    </row>
    <row r="172" spans="1:76" x14ac:dyDescent="0.25">
      <c r="A172" s="16"/>
      <c r="B172" s="428"/>
      <c r="C172" s="425" t="s">
        <v>2807</v>
      </c>
      <c r="D172" s="223" t="s">
        <v>106</v>
      </c>
      <c r="E172" s="430" t="s">
        <v>2808</v>
      </c>
      <c r="F172" s="31" t="s">
        <v>67</v>
      </c>
    </row>
    <row r="173" spans="1:76" x14ac:dyDescent="0.25">
      <c r="A173" s="223"/>
      <c r="B173" s="131" t="s">
        <v>12</v>
      </c>
      <c r="C173" s="421" t="s">
        <v>2809</v>
      </c>
      <c r="D173" s="223" t="s">
        <v>54</v>
      </c>
      <c r="E173" s="29" t="s">
        <v>2647</v>
      </c>
      <c r="F173" s="31" t="s">
        <v>67</v>
      </c>
    </row>
    <row r="174" spans="1:76" x14ac:dyDescent="0.25">
      <c r="A174" s="88">
        <v>42781</v>
      </c>
      <c r="B174" s="131" t="s">
        <v>12</v>
      </c>
      <c r="C174" s="423" t="s">
        <v>2810</v>
      </c>
      <c r="D174" s="16" t="s">
        <v>106</v>
      </c>
      <c r="E174" s="41" t="s">
        <v>2811</v>
      </c>
      <c r="F174" s="31" t="s">
        <v>67</v>
      </c>
      <c r="G174" s="424"/>
      <c r="BX174" s="11"/>
    </row>
    <row r="175" spans="1:76" x14ac:dyDescent="0.25">
      <c r="A175" s="88">
        <v>42781</v>
      </c>
      <c r="B175" s="131" t="s">
        <v>12</v>
      </c>
      <c r="C175" s="423" t="s">
        <v>2812</v>
      </c>
      <c r="D175" s="16" t="s">
        <v>54</v>
      </c>
      <c r="E175" s="41" t="s">
        <v>2659</v>
      </c>
      <c r="F175" s="31" t="s">
        <v>67</v>
      </c>
      <c r="G175" s="424"/>
    </row>
    <row r="176" spans="1:76" x14ac:dyDescent="0.25">
      <c r="A176" s="359">
        <v>43234</v>
      </c>
      <c r="B176" s="131" t="s">
        <v>12</v>
      </c>
      <c r="C176" s="420" t="s">
        <v>2813</v>
      </c>
      <c r="D176" s="16" t="s">
        <v>54</v>
      </c>
      <c r="E176" s="41" t="s">
        <v>952</v>
      </c>
      <c r="F176" s="24" t="s">
        <v>67</v>
      </c>
    </row>
    <row r="177" spans="1:76" x14ac:dyDescent="0.25">
      <c r="A177" s="359">
        <v>43234</v>
      </c>
      <c r="B177" s="131" t="s">
        <v>12</v>
      </c>
      <c r="C177" s="420" t="s">
        <v>2814</v>
      </c>
      <c r="D177" s="16" t="s">
        <v>54</v>
      </c>
      <c r="E177" s="41" t="s">
        <v>2815</v>
      </c>
      <c r="F177" s="24" t="s">
        <v>67</v>
      </c>
    </row>
    <row r="178" spans="1:76" x14ac:dyDescent="0.25">
      <c r="A178" s="359">
        <v>43234</v>
      </c>
      <c r="B178" s="131" t="s">
        <v>12</v>
      </c>
      <c r="C178" s="420" t="s">
        <v>2816</v>
      </c>
      <c r="D178" s="16" t="s">
        <v>54</v>
      </c>
      <c r="E178" s="41" t="s">
        <v>952</v>
      </c>
      <c r="F178" s="24" t="s">
        <v>67</v>
      </c>
    </row>
    <row r="179" spans="1:76" x14ac:dyDescent="0.25">
      <c r="A179" s="359">
        <v>43234</v>
      </c>
      <c r="B179" s="131" t="s">
        <v>12</v>
      </c>
      <c r="C179" s="420" t="s">
        <v>2817</v>
      </c>
      <c r="D179" s="16" t="s">
        <v>54</v>
      </c>
      <c r="E179" s="41" t="s">
        <v>2815</v>
      </c>
      <c r="F179" s="24" t="s">
        <v>67</v>
      </c>
    </row>
    <row r="180" spans="1:76" x14ac:dyDescent="0.25">
      <c r="A180" s="359">
        <v>43234</v>
      </c>
      <c r="B180" s="131" t="s">
        <v>12</v>
      </c>
      <c r="C180" s="420" t="s">
        <v>2818</v>
      </c>
      <c r="D180" s="16" t="s">
        <v>54</v>
      </c>
      <c r="E180" s="41" t="s">
        <v>2649</v>
      </c>
      <c r="F180" s="24" t="s">
        <v>67</v>
      </c>
    </row>
    <row r="181" spans="1:76" x14ac:dyDescent="0.25">
      <c r="A181" s="359">
        <v>43234</v>
      </c>
      <c r="B181" s="131" t="s">
        <v>12</v>
      </c>
      <c r="C181" s="420" t="s">
        <v>2819</v>
      </c>
      <c r="D181" s="16" t="s">
        <v>54</v>
      </c>
      <c r="E181" s="41" t="s">
        <v>952</v>
      </c>
      <c r="F181" s="24" t="s">
        <v>67</v>
      </c>
    </row>
    <row r="182" spans="1:76" x14ac:dyDescent="0.25">
      <c r="A182" s="359">
        <v>43234</v>
      </c>
      <c r="B182" s="131" t="s">
        <v>12</v>
      </c>
      <c r="C182" s="420" t="s">
        <v>2820</v>
      </c>
      <c r="D182" s="16" t="s">
        <v>54</v>
      </c>
      <c r="E182" s="41" t="s">
        <v>2647</v>
      </c>
      <c r="F182" s="24" t="s">
        <v>67</v>
      </c>
    </row>
    <row r="183" spans="1:76" x14ac:dyDescent="0.25">
      <c r="A183" s="359">
        <v>43234</v>
      </c>
      <c r="B183" s="131" t="s">
        <v>12</v>
      </c>
      <c r="C183" s="420" t="s">
        <v>2821</v>
      </c>
      <c r="D183" s="16" t="s">
        <v>54</v>
      </c>
      <c r="E183" s="41" t="s">
        <v>2802</v>
      </c>
      <c r="F183" s="24" t="s">
        <v>67</v>
      </c>
    </row>
    <row r="184" spans="1:76" x14ac:dyDescent="0.25">
      <c r="A184" s="315">
        <v>43035</v>
      </c>
      <c r="B184" s="131" t="s">
        <v>12</v>
      </c>
      <c r="C184" s="423" t="s">
        <v>2822</v>
      </c>
      <c r="D184" s="16" t="s">
        <v>106</v>
      </c>
      <c r="E184" s="41" t="str">
        <f>VLOOKUP(C184,'[1]L-F Filters'!$G$14:$H$5075,2,0)</f>
        <v>Breather Filter</v>
      </c>
      <c r="F184" s="24" t="s">
        <v>67</v>
      </c>
      <c r="G184" s="424"/>
      <c r="BX184" s="11"/>
    </row>
    <row r="185" spans="1:76" x14ac:dyDescent="0.25">
      <c r="A185" s="223"/>
      <c r="B185" s="131" t="s">
        <v>12</v>
      </c>
      <c r="C185" s="421" t="s">
        <v>2822</v>
      </c>
      <c r="D185" s="223" t="s">
        <v>54</v>
      </c>
      <c r="E185" s="29" t="s">
        <v>2802</v>
      </c>
      <c r="F185" s="31" t="s">
        <v>67</v>
      </c>
    </row>
    <row r="186" spans="1:76" x14ac:dyDescent="0.25">
      <c r="A186" s="88">
        <v>42629</v>
      </c>
      <c r="B186" s="131" t="s">
        <v>12</v>
      </c>
      <c r="C186" s="410" t="s">
        <v>2823</v>
      </c>
      <c r="D186" s="16" t="s">
        <v>106</v>
      </c>
      <c r="E186" s="16" t="s">
        <v>72</v>
      </c>
      <c r="F186" s="24" t="s">
        <v>2824</v>
      </c>
      <c r="G186" s="449"/>
      <c r="BV186" s="11"/>
      <c r="BW186" s="11"/>
      <c r="BX186" s="11"/>
    </row>
    <row r="187" spans="1:76" x14ac:dyDescent="0.25">
      <c r="A187" s="223"/>
      <c r="B187" s="131" t="s">
        <v>12</v>
      </c>
      <c r="C187" s="421" t="s">
        <v>2825</v>
      </c>
      <c r="D187" s="223" t="s">
        <v>54</v>
      </c>
      <c r="E187" s="29" t="s">
        <v>2826</v>
      </c>
      <c r="F187" s="31" t="s">
        <v>67</v>
      </c>
    </row>
    <row r="188" spans="1:76" x14ac:dyDescent="0.25">
      <c r="A188" s="315">
        <v>43035</v>
      </c>
      <c r="B188" s="131" t="s">
        <v>12</v>
      </c>
      <c r="C188" s="423" t="s">
        <v>2827</v>
      </c>
      <c r="D188" s="16" t="s">
        <v>106</v>
      </c>
      <c r="E188" s="41" t="str">
        <f>VLOOKUP(C188,'[1]L-F Filters'!$G$14:$H$5075,2,0)</f>
        <v>In-Line Fuel Filter</v>
      </c>
      <c r="F188" s="24" t="s">
        <v>67</v>
      </c>
      <c r="G188" s="424"/>
      <c r="BX188" s="11"/>
    </row>
    <row r="189" spans="1:76" x14ac:dyDescent="0.25">
      <c r="A189" s="223"/>
      <c r="B189" s="131" t="s">
        <v>12</v>
      </c>
      <c r="C189" s="421" t="s">
        <v>2827</v>
      </c>
      <c r="D189" s="223" t="s">
        <v>54</v>
      </c>
      <c r="E189" s="29" t="s">
        <v>2826</v>
      </c>
      <c r="F189" s="31" t="s">
        <v>67</v>
      </c>
    </row>
    <row r="190" spans="1:76" x14ac:dyDescent="0.25">
      <c r="A190" s="359">
        <v>43234</v>
      </c>
      <c r="B190" s="131" t="s">
        <v>12</v>
      </c>
      <c r="C190" s="420" t="s">
        <v>2828</v>
      </c>
      <c r="D190" s="16" t="s">
        <v>54</v>
      </c>
      <c r="E190" s="41" t="s">
        <v>2826</v>
      </c>
      <c r="F190" s="24" t="s">
        <v>67</v>
      </c>
    </row>
    <row r="191" spans="1:76" x14ac:dyDescent="0.25">
      <c r="A191" s="315">
        <v>43035</v>
      </c>
      <c r="B191" s="131" t="s">
        <v>12</v>
      </c>
      <c r="C191" s="423" t="s">
        <v>2829</v>
      </c>
      <c r="D191" s="16" t="s">
        <v>106</v>
      </c>
      <c r="E191" s="41" t="str">
        <f>VLOOKUP(C191,'[1]L-F Filters'!$G$14:$H$5075,2,0)</f>
        <v>In-Line Fuel Filter</v>
      </c>
      <c r="F191" s="24" t="s">
        <v>67</v>
      </c>
      <c r="G191" s="424"/>
      <c r="BX191" s="11"/>
    </row>
    <row r="192" spans="1:76" x14ac:dyDescent="0.25">
      <c r="A192" s="315">
        <v>43035</v>
      </c>
      <c r="B192" s="131" t="s">
        <v>12</v>
      </c>
      <c r="C192" s="423" t="s">
        <v>2830</v>
      </c>
      <c r="D192" s="16" t="s">
        <v>106</v>
      </c>
      <c r="E192" s="41" t="str">
        <f>VLOOKUP(C192,'[1]L-F Filters'!$G$14:$H$5075,2,0)</f>
        <v>In-Line Fuel Filter</v>
      </c>
      <c r="F192" s="24" t="s">
        <v>67</v>
      </c>
      <c r="G192" s="424"/>
      <c r="BX192" s="11"/>
    </row>
    <row r="193" spans="1:76" x14ac:dyDescent="0.25">
      <c r="A193" s="223"/>
      <c r="B193" s="131" t="s">
        <v>12</v>
      </c>
      <c r="C193" s="421" t="s">
        <v>2830</v>
      </c>
      <c r="D193" s="223" t="s">
        <v>54</v>
      </c>
      <c r="E193" s="29" t="s">
        <v>2826</v>
      </c>
      <c r="F193" s="31" t="s">
        <v>67</v>
      </c>
    </row>
    <row r="194" spans="1:76" x14ac:dyDescent="0.25">
      <c r="A194" s="223"/>
      <c r="B194" s="131" t="s">
        <v>12</v>
      </c>
      <c r="C194" s="421" t="s">
        <v>2831</v>
      </c>
      <c r="D194" s="223" t="s">
        <v>54</v>
      </c>
      <c r="E194" s="29" t="s">
        <v>2826</v>
      </c>
      <c r="F194" s="31" t="s">
        <v>67</v>
      </c>
    </row>
    <row r="195" spans="1:76" x14ac:dyDescent="0.25">
      <c r="A195" s="223"/>
      <c r="B195" s="131" t="s">
        <v>12</v>
      </c>
      <c r="C195" s="421" t="s">
        <v>2832</v>
      </c>
      <c r="D195" s="223" t="s">
        <v>54</v>
      </c>
      <c r="E195" s="29" t="s">
        <v>2826</v>
      </c>
      <c r="F195" s="31" t="s">
        <v>67</v>
      </c>
    </row>
    <row r="196" spans="1:76" x14ac:dyDescent="0.25">
      <c r="A196" s="223"/>
      <c r="B196" s="131" t="s">
        <v>12</v>
      </c>
      <c r="C196" s="421" t="s">
        <v>2833</v>
      </c>
      <c r="D196" s="223" t="s">
        <v>54</v>
      </c>
      <c r="E196" s="29" t="s">
        <v>2834</v>
      </c>
      <c r="F196" s="31" t="s">
        <v>67</v>
      </c>
      <c r="G196" s="449"/>
    </row>
    <row r="197" spans="1:76" x14ac:dyDescent="0.25">
      <c r="A197" s="16"/>
      <c r="B197" s="428" t="s">
        <v>12</v>
      </c>
      <c r="C197" s="425" t="s">
        <v>2835</v>
      </c>
      <c r="D197" s="223" t="s">
        <v>54</v>
      </c>
      <c r="E197" s="426" t="s">
        <v>2494</v>
      </c>
      <c r="F197" s="31" t="s">
        <v>67</v>
      </c>
    </row>
    <row r="198" spans="1:76" x14ac:dyDescent="0.25">
      <c r="A198" s="315">
        <v>42888</v>
      </c>
      <c r="B198" s="131" t="s">
        <v>12</v>
      </c>
      <c r="C198" s="423" t="s">
        <v>2836</v>
      </c>
      <c r="D198" s="16" t="s">
        <v>54</v>
      </c>
      <c r="E198" s="41" t="s">
        <v>2837</v>
      </c>
      <c r="F198" s="24" t="s">
        <v>67</v>
      </c>
      <c r="G198" s="431"/>
      <c r="BX198" s="11"/>
    </row>
    <row r="199" spans="1:76" x14ac:dyDescent="0.25">
      <c r="A199" s="359">
        <v>43123</v>
      </c>
      <c r="B199" s="131" t="s">
        <v>12</v>
      </c>
      <c r="C199" s="423" t="s">
        <v>2838</v>
      </c>
      <c r="D199" s="16" t="s">
        <v>54</v>
      </c>
      <c r="E199" s="41" t="s">
        <v>2494</v>
      </c>
      <c r="F199" s="24" t="s">
        <v>67</v>
      </c>
      <c r="G199" s="424"/>
      <c r="BX199" s="11"/>
    </row>
    <row r="200" spans="1:76" x14ac:dyDescent="0.25">
      <c r="A200" s="359">
        <v>43234</v>
      </c>
      <c r="B200" s="131" t="s">
        <v>12</v>
      </c>
      <c r="C200" s="420" t="s">
        <v>2839</v>
      </c>
      <c r="D200" s="16" t="s">
        <v>54</v>
      </c>
      <c r="E200" s="41" t="s">
        <v>2840</v>
      </c>
      <c r="F200" s="24" t="s">
        <v>67</v>
      </c>
    </row>
    <row r="201" spans="1:76" x14ac:dyDescent="0.25">
      <c r="A201" s="223"/>
      <c r="B201" s="131" t="s">
        <v>12</v>
      </c>
      <c r="C201" s="421" t="s">
        <v>2841</v>
      </c>
      <c r="D201" s="223" t="s">
        <v>54</v>
      </c>
      <c r="E201" s="29" t="s">
        <v>2494</v>
      </c>
      <c r="F201" s="31" t="s">
        <v>67</v>
      </c>
      <c r="G201" s="449"/>
    </row>
    <row r="202" spans="1:76" x14ac:dyDescent="0.25">
      <c r="A202" s="359">
        <v>43129</v>
      </c>
      <c r="B202" s="131" t="s">
        <v>12</v>
      </c>
      <c r="C202" s="423" t="s">
        <v>2842</v>
      </c>
      <c r="D202" s="16" t="s">
        <v>54</v>
      </c>
      <c r="E202" s="41" t="s">
        <v>2494</v>
      </c>
      <c r="F202" s="24" t="s">
        <v>67</v>
      </c>
      <c r="G202" s="424"/>
      <c r="BX202" s="11"/>
    </row>
    <row r="203" spans="1:76" x14ac:dyDescent="0.25">
      <c r="A203" s="359">
        <v>43234</v>
      </c>
      <c r="B203" s="131" t="s">
        <v>12</v>
      </c>
      <c r="C203" s="368" t="s">
        <v>2843</v>
      </c>
      <c r="D203" s="16" t="s">
        <v>54</v>
      </c>
      <c r="E203" s="426" t="s">
        <v>2494</v>
      </c>
      <c r="F203" s="24" t="s">
        <v>67</v>
      </c>
      <c r="G203" s="452"/>
      <c r="H203" s="422"/>
      <c r="BX203" s="11"/>
    </row>
    <row r="204" spans="1:76" x14ac:dyDescent="0.25">
      <c r="A204" s="359">
        <v>43089</v>
      </c>
      <c r="B204" s="131" t="s">
        <v>12</v>
      </c>
      <c r="C204" s="423" t="s">
        <v>2844</v>
      </c>
      <c r="D204" s="16" t="s">
        <v>54</v>
      </c>
      <c r="E204" s="41" t="s">
        <v>2657</v>
      </c>
      <c r="F204" s="24" t="s">
        <v>67</v>
      </c>
      <c r="G204" s="424"/>
      <c r="BX204" s="11"/>
    </row>
    <row r="205" spans="1:76" x14ac:dyDescent="0.25">
      <c r="A205" s="223"/>
      <c r="B205" s="131" t="s">
        <v>12</v>
      </c>
      <c r="C205" s="421" t="s">
        <v>2845</v>
      </c>
      <c r="D205" s="223" t="s">
        <v>54</v>
      </c>
      <c r="E205" s="29" t="s">
        <v>2846</v>
      </c>
      <c r="F205" s="31" t="s">
        <v>67</v>
      </c>
    </row>
    <row r="206" spans="1:76" x14ac:dyDescent="0.25">
      <c r="A206" s="88">
        <v>42534</v>
      </c>
      <c r="B206" s="131" t="s">
        <v>2847</v>
      </c>
      <c r="C206" s="427" t="s">
        <v>2848</v>
      </c>
      <c r="D206" s="16" t="s">
        <v>54</v>
      </c>
      <c r="E206" s="16" t="s">
        <v>59</v>
      </c>
      <c r="F206" s="24" t="s">
        <v>67</v>
      </c>
      <c r="G206" s="432"/>
      <c r="BV206" s="11"/>
      <c r="BW206" s="11"/>
      <c r="BX206" s="11"/>
    </row>
    <row r="207" spans="1:76" ht="30" x14ac:dyDescent="0.25">
      <c r="A207" s="88">
        <v>42781</v>
      </c>
      <c r="B207" s="433" t="s">
        <v>12</v>
      </c>
      <c r="C207" s="423" t="s">
        <v>2849</v>
      </c>
      <c r="D207" s="16" t="s">
        <v>54</v>
      </c>
      <c r="E207" s="46" t="s">
        <v>2850</v>
      </c>
      <c r="F207" s="31" t="s">
        <v>67</v>
      </c>
      <c r="G207" s="424"/>
      <c r="BX207" s="11"/>
    </row>
    <row r="208" spans="1:76" x14ac:dyDescent="0.25">
      <c r="A208" s="88">
        <v>42629</v>
      </c>
      <c r="B208" s="131" t="s">
        <v>12</v>
      </c>
      <c r="C208" s="427" t="s">
        <v>2851</v>
      </c>
      <c r="D208" s="16" t="s">
        <v>54</v>
      </c>
      <c r="E208" s="16" t="s">
        <v>59</v>
      </c>
      <c r="F208" s="24" t="s">
        <v>2852</v>
      </c>
      <c r="G208" s="424"/>
      <c r="BV208" s="11"/>
      <c r="BW208" s="11"/>
      <c r="BX208" s="11"/>
    </row>
    <row r="209" spans="1:76" x14ac:dyDescent="0.25">
      <c r="A209" s="88">
        <v>42725</v>
      </c>
      <c r="B209" s="131" t="s">
        <v>12</v>
      </c>
      <c r="C209" s="434" t="s">
        <v>2853</v>
      </c>
      <c r="D209" s="16" t="s">
        <v>54</v>
      </c>
      <c r="E209" s="41" t="s">
        <v>2494</v>
      </c>
      <c r="F209" s="31" t="s">
        <v>67</v>
      </c>
      <c r="G209" s="450"/>
      <c r="BV209" s="11"/>
      <c r="BW209" s="11"/>
      <c r="BX209" s="11"/>
    </row>
    <row r="210" spans="1:76" x14ac:dyDescent="0.25">
      <c r="A210" s="88">
        <v>42725</v>
      </c>
      <c r="B210" s="131" t="s">
        <v>12</v>
      </c>
      <c r="C210" s="434" t="s">
        <v>2854</v>
      </c>
      <c r="D210" s="16" t="s">
        <v>54</v>
      </c>
      <c r="E210" s="41" t="s">
        <v>2494</v>
      </c>
      <c r="F210" s="31" t="s">
        <v>67</v>
      </c>
      <c r="G210" s="452"/>
      <c r="BV210" s="11"/>
      <c r="BW210" s="11"/>
      <c r="BX210" s="11"/>
    </row>
    <row r="211" spans="1:76" x14ac:dyDescent="0.25">
      <c r="A211" s="359">
        <v>43125</v>
      </c>
      <c r="B211" s="131" t="s">
        <v>12</v>
      </c>
      <c r="C211" s="423" t="s">
        <v>2855</v>
      </c>
      <c r="D211" s="16" t="s">
        <v>54</v>
      </c>
      <c r="E211" s="41" t="s">
        <v>2494</v>
      </c>
      <c r="F211" s="24" t="s">
        <v>67</v>
      </c>
      <c r="G211" s="424"/>
      <c r="BX211" s="11"/>
    </row>
    <row r="212" spans="1:76" x14ac:dyDescent="0.25">
      <c r="A212" s="88">
        <v>42725</v>
      </c>
      <c r="B212" s="131" t="s">
        <v>12</v>
      </c>
      <c r="C212" s="434" t="s">
        <v>2856</v>
      </c>
      <c r="D212" s="15" t="s">
        <v>54</v>
      </c>
      <c r="E212" s="41" t="s">
        <v>2494</v>
      </c>
      <c r="F212" s="31" t="s">
        <v>67</v>
      </c>
      <c r="G212" s="450"/>
      <c r="BV212" s="11"/>
      <c r="BW212" s="11"/>
      <c r="BX212" s="11"/>
    </row>
    <row r="213" spans="1:76" x14ac:dyDescent="0.25">
      <c r="A213" s="359">
        <v>43234</v>
      </c>
      <c r="B213" s="131" t="s">
        <v>12</v>
      </c>
      <c r="C213" s="368" t="s">
        <v>2857</v>
      </c>
      <c r="D213" s="16" t="s">
        <v>54</v>
      </c>
      <c r="E213" s="41" t="s">
        <v>2858</v>
      </c>
      <c r="F213" s="24" t="s">
        <v>67</v>
      </c>
      <c r="G213" s="452"/>
      <c r="H213" s="422"/>
      <c r="BX213" s="11"/>
    </row>
    <row r="214" spans="1:76" x14ac:dyDescent="0.25">
      <c r="A214" s="88">
        <v>42781</v>
      </c>
      <c r="B214" s="131" t="s">
        <v>12</v>
      </c>
      <c r="C214" s="423" t="s">
        <v>2859</v>
      </c>
      <c r="D214" s="16" t="s">
        <v>54</v>
      </c>
      <c r="E214" s="41" t="s">
        <v>2860</v>
      </c>
      <c r="F214" s="31" t="s">
        <v>67</v>
      </c>
      <c r="G214" s="424"/>
    </row>
    <row r="215" spans="1:76" x14ac:dyDescent="0.25">
      <c r="A215" s="88">
        <v>42725</v>
      </c>
      <c r="B215" s="131" t="s">
        <v>12</v>
      </c>
      <c r="C215" s="434" t="s">
        <v>78</v>
      </c>
      <c r="D215" s="16" t="s">
        <v>54</v>
      </c>
      <c r="E215" s="406" t="s">
        <v>2650</v>
      </c>
      <c r="F215" s="31" t="s">
        <v>67</v>
      </c>
      <c r="G215" s="424"/>
      <c r="BV215" s="11"/>
      <c r="BW215" s="11"/>
      <c r="BX215" s="11"/>
    </row>
    <row r="216" spans="1:76" x14ac:dyDescent="0.25">
      <c r="A216" s="359">
        <v>43234</v>
      </c>
      <c r="B216" s="131" t="s">
        <v>12</v>
      </c>
      <c r="C216" s="368" t="s">
        <v>2861</v>
      </c>
      <c r="D216" s="16" t="s">
        <v>54</v>
      </c>
      <c r="E216" s="41" t="s">
        <v>2655</v>
      </c>
      <c r="F216" s="24" t="s">
        <v>67</v>
      </c>
      <c r="G216" s="452"/>
      <c r="H216" s="422"/>
      <c r="BX216" s="11"/>
    </row>
    <row r="217" spans="1:76" x14ac:dyDescent="0.25">
      <c r="A217" s="359">
        <v>43234</v>
      </c>
      <c r="B217" s="131" t="s">
        <v>12</v>
      </c>
      <c r="C217" s="368" t="s">
        <v>2862</v>
      </c>
      <c r="D217" s="16" t="s">
        <v>54</v>
      </c>
      <c r="E217" s="41" t="s">
        <v>2815</v>
      </c>
      <c r="F217" s="24" t="s">
        <v>67</v>
      </c>
      <c r="G217" s="452"/>
      <c r="H217" s="422"/>
      <c r="BX217" s="11"/>
    </row>
    <row r="218" spans="1:76" x14ac:dyDescent="0.25">
      <c r="A218" s="16"/>
      <c r="B218" s="428" t="s">
        <v>12</v>
      </c>
      <c r="C218" s="425" t="s">
        <v>2863</v>
      </c>
      <c r="D218" s="223" t="s">
        <v>54</v>
      </c>
      <c r="E218" s="426" t="s">
        <v>2808</v>
      </c>
      <c r="F218" s="31" t="s">
        <v>67</v>
      </c>
    </row>
    <row r="219" spans="1:76" x14ac:dyDescent="0.25">
      <c r="A219" s="88">
        <v>42629</v>
      </c>
      <c r="B219" s="131" t="s">
        <v>12</v>
      </c>
      <c r="C219" s="410" t="s">
        <v>2864</v>
      </c>
      <c r="D219" s="16" t="s">
        <v>54</v>
      </c>
      <c r="E219" s="16" t="s">
        <v>72</v>
      </c>
      <c r="F219" s="31" t="s">
        <v>67</v>
      </c>
      <c r="G219" s="424"/>
      <c r="BV219" s="11"/>
      <c r="BW219" s="11"/>
      <c r="BX219" s="11"/>
    </row>
    <row r="220" spans="1:76" x14ac:dyDescent="0.25">
      <c r="A220" s="359">
        <v>43234</v>
      </c>
      <c r="B220" s="131" t="s">
        <v>12</v>
      </c>
      <c r="C220" s="368" t="s">
        <v>2865</v>
      </c>
      <c r="D220" s="16" t="s">
        <v>54</v>
      </c>
      <c r="E220" s="41" t="s">
        <v>2649</v>
      </c>
      <c r="F220" s="24" t="s">
        <v>67</v>
      </c>
      <c r="G220" s="452"/>
      <c r="H220" s="422"/>
      <c r="BX220" s="11"/>
    </row>
    <row r="221" spans="1:76" x14ac:dyDescent="0.25">
      <c r="A221" s="223"/>
      <c r="B221" s="131" t="s">
        <v>12</v>
      </c>
      <c r="C221" s="421" t="s">
        <v>2866</v>
      </c>
      <c r="D221" s="223" t="s">
        <v>54</v>
      </c>
      <c r="E221" s="29" t="s">
        <v>2649</v>
      </c>
      <c r="F221" s="31" t="s">
        <v>67</v>
      </c>
    </row>
    <row r="222" spans="1:76" x14ac:dyDescent="0.25">
      <c r="A222" s="359">
        <v>43234</v>
      </c>
      <c r="B222" s="131" t="s">
        <v>12</v>
      </c>
      <c r="C222" s="368" t="s">
        <v>2867</v>
      </c>
      <c r="D222" s="16" t="s">
        <v>54</v>
      </c>
      <c r="E222" s="41" t="s">
        <v>2787</v>
      </c>
      <c r="F222" s="24" t="s">
        <v>67</v>
      </c>
      <c r="G222" s="86"/>
      <c r="H222" s="422"/>
      <c r="BX222" s="11"/>
    </row>
    <row r="223" spans="1:76" x14ac:dyDescent="0.25">
      <c r="A223" s="359">
        <v>43234</v>
      </c>
      <c r="B223" s="131" t="s">
        <v>12</v>
      </c>
      <c r="C223" s="368" t="s">
        <v>2868</v>
      </c>
      <c r="D223" s="16" t="s">
        <v>54</v>
      </c>
      <c r="E223" s="41" t="s">
        <v>952</v>
      </c>
      <c r="F223" s="24" t="s">
        <v>67</v>
      </c>
      <c r="G223" s="86"/>
      <c r="H223" s="422"/>
      <c r="BX223" s="11"/>
    </row>
    <row r="224" spans="1:76" x14ac:dyDescent="0.25">
      <c r="A224" s="223"/>
      <c r="B224" s="131" t="s">
        <v>12</v>
      </c>
      <c r="C224" s="421" t="s">
        <v>2869</v>
      </c>
      <c r="D224" s="223" t="s">
        <v>54</v>
      </c>
      <c r="E224" s="29" t="s">
        <v>2790</v>
      </c>
      <c r="F224" s="31" t="s">
        <v>67</v>
      </c>
    </row>
    <row r="225" spans="1:76" x14ac:dyDescent="0.25">
      <c r="A225" s="315">
        <v>43035</v>
      </c>
      <c r="B225" s="131" t="s">
        <v>12</v>
      </c>
      <c r="C225" s="423" t="s">
        <v>2870</v>
      </c>
      <c r="D225" s="16" t="s">
        <v>54</v>
      </c>
      <c r="E225" s="41" t="str">
        <f>VLOOKUP(C225,'[2]2018 Pricing'!$K$12:$O$3176,5,0)</f>
        <v>Round Inner Air Filter</v>
      </c>
      <c r="F225" s="24" t="s">
        <v>67</v>
      </c>
      <c r="G225" s="424"/>
      <c r="BX225" s="11"/>
    </row>
    <row r="226" spans="1:76" x14ac:dyDescent="0.25">
      <c r="A226" s="88">
        <v>42395</v>
      </c>
      <c r="B226" s="131" t="s">
        <v>12</v>
      </c>
      <c r="C226" s="427" t="s">
        <v>77</v>
      </c>
      <c r="D226" s="15" t="s">
        <v>54</v>
      </c>
      <c r="E226" s="16" t="s">
        <v>439</v>
      </c>
      <c r="F226" s="24" t="s">
        <v>67</v>
      </c>
      <c r="G226"/>
      <c r="BU226" s="11"/>
      <c r="BV226" s="11"/>
      <c r="BW226" s="11"/>
      <c r="BX226" s="11"/>
    </row>
    <row r="227" spans="1:76" x14ac:dyDescent="0.25">
      <c r="A227" s="88">
        <v>42781</v>
      </c>
      <c r="B227" s="131" t="s">
        <v>12</v>
      </c>
      <c r="C227" s="423" t="s">
        <v>2871</v>
      </c>
      <c r="D227" s="16" t="s">
        <v>54</v>
      </c>
      <c r="E227" s="41" t="s">
        <v>2651</v>
      </c>
      <c r="F227" s="31" t="s">
        <v>67</v>
      </c>
      <c r="G227" s="424"/>
      <c r="BX227" s="11"/>
    </row>
    <row r="228" spans="1:76" x14ac:dyDescent="0.25">
      <c r="A228" s="88">
        <v>42781</v>
      </c>
      <c r="B228" s="131" t="s">
        <v>12</v>
      </c>
      <c r="C228" s="423" t="s">
        <v>2872</v>
      </c>
      <c r="D228" s="16" t="s">
        <v>54</v>
      </c>
      <c r="E228" s="41" t="s">
        <v>2651</v>
      </c>
      <c r="F228" s="31" t="s">
        <v>67</v>
      </c>
      <c r="G228" s="424"/>
      <c r="BX228" s="11"/>
    </row>
    <row r="229" spans="1:76" x14ac:dyDescent="0.25">
      <c r="A229" s="88">
        <v>42395</v>
      </c>
      <c r="B229" s="131" t="s">
        <v>12</v>
      </c>
      <c r="C229" s="427" t="s">
        <v>79</v>
      </c>
      <c r="D229" s="16" t="s">
        <v>54</v>
      </c>
      <c r="E229" s="16" t="s">
        <v>439</v>
      </c>
      <c r="F229" s="24" t="s">
        <v>67</v>
      </c>
      <c r="G229"/>
      <c r="BU229" s="11"/>
      <c r="BV229" s="11"/>
      <c r="BW229" s="11"/>
      <c r="BX229" s="11"/>
    </row>
    <row r="230" spans="1:76" x14ac:dyDescent="0.25">
      <c r="A230" s="88">
        <v>42781</v>
      </c>
      <c r="B230" s="131" t="s">
        <v>12</v>
      </c>
      <c r="C230" s="423" t="s">
        <v>2873</v>
      </c>
      <c r="D230" s="16" t="s">
        <v>54</v>
      </c>
      <c r="E230" s="41" t="s">
        <v>2874</v>
      </c>
      <c r="F230" s="31" t="s">
        <v>67</v>
      </c>
      <c r="G230" s="424"/>
      <c r="BX230" s="11"/>
    </row>
    <row r="231" spans="1:76" s="11" customFormat="1" x14ac:dyDescent="0.25">
      <c r="A231" s="223"/>
      <c r="B231" s="131" t="s">
        <v>12</v>
      </c>
      <c r="C231" s="421" t="s">
        <v>2875</v>
      </c>
      <c r="D231" s="223" t="s">
        <v>54</v>
      </c>
      <c r="E231" s="29" t="s">
        <v>2876</v>
      </c>
      <c r="F231" s="31" t="s">
        <v>67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</row>
    <row r="232" spans="1:76" s="11" customFormat="1" x14ac:dyDescent="0.25">
      <c r="A232" s="88">
        <v>42781</v>
      </c>
      <c r="B232" s="131" t="s">
        <v>12</v>
      </c>
      <c r="C232" s="423" t="s">
        <v>2875</v>
      </c>
      <c r="D232" s="16" t="s">
        <v>54</v>
      </c>
      <c r="E232" s="41" t="s">
        <v>2654</v>
      </c>
      <c r="F232" s="31" t="s">
        <v>67</v>
      </c>
      <c r="G232" s="42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</row>
    <row r="233" spans="1:76" s="11" customFormat="1" x14ac:dyDescent="0.25">
      <c r="A233" s="88">
        <v>42781</v>
      </c>
      <c r="B233" s="131" t="s">
        <v>12</v>
      </c>
      <c r="C233" s="423" t="s">
        <v>2877</v>
      </c>
      <c r="D233" s="16" t="s">
        <v>54</v>
      </c>
      <c r="E233" s="41" t="s">
        <v>2649</v>
      </c>
      <c r="F233" s="31" t="s">
        <v>67</v>
      </c>
      <c r="G233" s="42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</row>
    <row r="234" spans="1:76" s="11" customFormat="1" x14ac:dyDescent="0.25">
      <c r="A234" s="88">
        <v>42781</v>
      </c>
      <c r="B234" s="131" t="s">
        <v>12</v>
      </c>
      <c r="C234" s="423" t="s">
        <v>2878</v>
      </c>
      <c r="D234" s="16" t="s">
        <v>54</v>
      </c>
      <c r="E234" s="41" t="s">
        <v>2649</v>
      </c>
      <c r="F234" s="31" t="s">
        <v>67</v>
      </c>
      <c r="G234" s="42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</row>
    <row r="235" spans="1:76" s="11" customFormat="1" x14ac:dyDescent="0.25">
      <c r="A235" s="88">
        <v>42781</v>
      </c>
      <c r="B235" s="131" t="s">
        <v>12</v>
      </c>
      <c r="C235" s="423" t="s">
        <v>2879</v>
      </c>
      <c r="D235" s="16" t="s">
        <v>54</v>
      </c>
      <c r="E235" s="41" t="s">
        <v>2649</v>
      </c>
      <c r="F235" s="31" t="s">
        <v>67</v>
      </c>
      <c r="G235" s="42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</row>
    <row r="236" spans="1:76" s="11" customFormat="1" x14ac:dyDescent="0.25">
      <c r="A236" s="88">
        <v>42781</v>
      </c>
      <c r="B236" s="131" t="s">
        <v>12</v>
      </c>
      <c r="C236" s="423" t="s">
        <v>2880</v>
      </c>
      <c r="D236" s="16" t="s">
        <v>54</v>
      </c>
      <c r="E236" s="41" t="s">
        <v>2649</v>
      </c>
      <c r="F236" s="31" t="s">
        <v>67</v>
      </c>
      <c r="G236" s="452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</row>
    <row r="237" spans="1:76" s="11" customFormat="1" x14ac:dyDescent="0.25">
      <c r="A237" s="88">
        <v>42781</v>
      </c>
      <c r="B237" s="131" t="s">
        <v>12</v>
      </c>
      <c r="C237" s="423" t="s">
        <v>2881</v>
      </c>
      <c r="D237" s="16" t="s">
        <v>54</v>
      </c>
      <c r="E237" s="41" t="s">
        <v>2648</v>
      </c>
      <c r="F237" s="31" t="s">
        <v>67</v>
      </c>
      <c r="G237" s="452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</row>
    <row r="238" spans="1:76" s="11" customFormat="1" x14ac:dyDescent="0.25">
      <c r="A238" s="359">
        <v>43234</v>
      </c>
      <c r="B238" s="131" t="s">
        <v>12</v>
      </c>
      <c r="C238" s="368" t="s">
        <v>2882</v>
      </c>
      <c r="D238" s="16" t="s">
        <v>54</v>
      </c>
      <c r="E238" s="41" t="s">
        <v>2649</v>
      </c>
      <c r="F238" s="24" t="s">
        <v>67</v>
      </c>
      <c r="G238" s="452"/>
      <c r="H238" s="422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</row>
    <row r="239" spans="1:76" s="11" customFormat="1" x14ac:dyDescent="0.25">
      <c r="A239" s="88">
        <v>42781</v>
      </c>
      <c r="B239" s="131" t="s">
        <v>12</v>
      </c>
      <c r="C239" s="423" t="s">
        <v>2883</v>
      </c>
      <c r="D239" s="16" t="s">
        <v>54</v>
      </c>
      <c r="E239" s="41" t="s">
        <v>2651</v>
      </c>
      <c r="F239" s="31" t="s">
        <v>67</v>
      </c>
      <c r="G239" s="452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</row>
    <row r="240" spans="1:76" s="11" customFormat="1" x14ac:dyDescent="0.25">
      <c r="A240" s="88">
        <v>42781</v>
      </c>
      <c r="B240" s="131" t="s">
        <v>12</v>
      </c>
      <c r="C240" s="423" t="s">
        <v>2884</v>
      </c>
      <c r="D240" s="16" t="s">
        <v>54</v>
      </c>
      <c r="E240" s="41" t="s">
        <v>2651</v>
      </c>
      <c r="F240" s="31" t="s">
        <v>67</v>
      </c>
      <c r="G240" s="42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</row>
    <row r="241" spans="1:76" s="11" customFormat="1" x14ac:dyDescent="0.25">
      <c r="A241" s="359">
        <v>43234</v>
      </c>
      <c r="B241" s="131" t="s">
        <v>12</v>
      </c>
      <c r="C241" s="420" t="s">
        <v>2885</v>
      </c>
      <c r="D241" s="16" t="s">
        <v>54</v>
      </c>
      <c r="E241" s="41" t="s">
        <v>2649</v>
      </c>
      <c r="F241" s="24" t="s">
        <v>67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</row>
    <row r="242" spans="1:76" s="11" customFormat="1" x14ac:dyDescent="0.25">
      <c r="A242" s="88">
        <v>42781</v>
      </c>
      <c r="B242" s="131" t="s">
        <v>12</v>
      </c>
      <c r="C242" s="423" t="s">
        <v>2886</v>
      </c>
      <c r="D242" s="16" t="s">
        <v>54</v>
      </c>
      <c r="E242" s="41" t="s">
        <v>2654</v>
      </c>
      <c r="F242" s="31" t="s">
        <v>67</v>
      </c>
      <c r="G242" s="42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</row>
    <row r="243" spans="1:76" s="11" customFormat="1" x14ac:dyDescent="0.25">
      <c r="A243" s="16"/>
      <c r="B243" s="428" t="s">
        <v>12</v>
      </c>
      <c r="C243" s="425" t="s">
        <v>2887</v>
      </c>
      <c r="D243" s="223" t="s">
        <v>54</v>
      </c>
      <c r="E243" s="426" t="s">
        <v>2888</v>
      </c>
      <c r="F243" s="31" t="s">
        <v>67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</row>
    <row r="244" spans="1:76" s="11" customFormat="1" x14ac:dyDescent="0.25">
      <c r="A244" s="359">
        <v>43234</v>
      </c>
      <c r="B244" s="131" t="s">
        <v>12</v>
      </c>
      <c r="C244" s="368" t="s">
        <v>2889</v>
      </c>
      <c r="D244" s="16" t="s">
        <v>54</v>
      </c>
      <c r="E244" s="41" t="s">
        <v>2648</v>
      </c>
      <c r="F244" s="24" t="s">
        <v>67</v>
      </c>
      <c r="G244" s="452"/>
      <c r="H244" s="422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</row>
    <row r="245" spans="1:76" s="11" customFormat="1" x14ac:dyDescent="0.25">
      <c r="A245" s="359">
        <v>43234</v>
      </c>
      <c r="B245" s="131" t="s">
        <v>12</v>
      </c>
      <c r="C245" s="368" t="s">
        <v>2890</v>
      </c>
      <c r="D245" s="16" t="s">
        <v>54</v>
      </c>
      <c r="E245" s="41" t="s">
        <v>2891</v>
      </c>
      <c r="F245" s="24" t="s">
        <v>67</v>
      </c>
      <c r="G245" s="86"/>
      <c r="H245" s="422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</row>
    <row r="246" spans="1:76" s="11" customFormat="1" x14ac:dyDescent="0.25">
      <c r="A246" s="88">
        <v>42781</v>
      </c>
      <c r="B246" s="131" t="s">
        <v>12</v>
      </c>
      <c r="C246" s="423" t="s">
        <v>2892</v>
      </c>
      <c r="D246" s="16" t="s">
        <v>54</v>
      </c>
      <c r="E246" s="41" t="s">
        <v>952</v>
      </c>
      <c r="F246" s="31" t="s">
        <v>67</v>
      </c>
      <c r="G246" s="452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</row>
    <row r="247" spans="1:76" s="11" customFormat="1" x14ac:dyDescent="0.25">
      <c r="A247" s="88">
        <v>42629</v>
      </c>
      <c r="B247" s="131" t="s">
        <v>12</v>
      </c>
      <c r="C247" s="427" t="s">
        <v>2893</v>
      </c>
      <c r="D247" s="16" t="s">
        <v>54</v>
      </c>
      <c r="E247" s="16" t="s">
        <v>72</v>
      </c>
      <c r="F247" s="31" t="s">
        <v>67</v>
      </c>
      <c r="G247" s="42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:76" s="11" customFormat="1" x14ac:dyDescent="0.25">
      <c r="A248" s="88">
        <v>42534</v>
      </c>
      <c r="B248" s="131" t="s">
        <v>2847</v>
      </c>
      <c r="C248" s="410" t="s">
        <v>2894</v>
      </c>
      <c r="D248" s="16" t="s">
        <v>54</v>
      </c>
      <c r="E248" s="16" t="s">
        <v>72</v>
      </c>
      <c r="F248" s="24" t="s">
        <v>67</v>
      </c>
      <c r="G248" s="432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:76" s="11" customFormat="1" x14ac:dyDescent="0.25">
      <c r="A249" s="359">
        <v>43234</v>
      </c>
      <c r="B249" s="131" t="s">
        <v>12</v>
      </c>
      <c r="C249" s="368" t="s">
        <v>2895</v>
      </c>
      <c r="D249" s="16" t="s">
        <v>54</v>
      </c>
      <c r="E249" s="41" t="s">
        <v>2896</v>
      </c>
      <c r="F249" s="24" t="s">
        <v>67</v>
      </c>
      <c r="G249" s="452"/>
      <c r="H249" s="422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</row>
    <row r="250" spans="1:76" s="11" customFormat="1" x14ac:dyDescent="0.25">
      <c r="A250" s="16"/>
      <c r="B250" s="428" t="s">
        <v>12</v>
      </c>
      <c r="C250" s="425" t="s">
        <v>2897</v>
      </c>
      <c r="D250" s="223" t="s">
        <v>54</v>
      </c>
      <c r="E250" s="426" t="s">
        <v>2898</v>
      </c>
      <c r="F250" s="31" t="s">
        <v>67</v>
      </c>
      <c r="G250" s="452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</row>
    <row r="251" spans="1:76" s="11" customFormat="1" x14ac:dyDescent="0.25">
      <c r="A251" s="315">
        <v>43035</v>
      </c>
      <c r="B251" s="131" t="s">
        <v>12</v>
      </c>
      <c r="C251" s="423" t="s">
        <v>2899</v>
      </c>
      <c r="D251" s="16" t="s">
        <v>54</v>
      </c>
      <c r="E251" s="41" t="str">
        <f>VLOOKUP(C251,'[2]2018 Pricing'!$K$12:$O$3176,5,0)</f>
        <v>HD Round Air Filter with Attached Boot</v>
      </c>
      <c r="F251" s="24" t="s">
        <v>67</v>
      </c>
      <c r="G251" s="42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</row>
    <row r="252" spans="1:76" s="11" customFormat="1" x14ac:dyDescent="0.25">
      <c r="A252" s="359">
        <v>43119</v>
      </c>
      <c r="B252" s="131" t="s">
        <v>12</v>
      </c>
      <c r="C252" s="423" t="s">
        <v>2900</v>
      </c>
      <c r="D252" s="16" t="s">
        <v>54</v>
      </c>
      <c r="E252" s="41" t="s">
        <v>72</v>
      </c>
      <c r="F252" s="24" t="s">
        <v>67</v>
      </c>
      <c r="G252" s="42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</row>
    <row r="253" spans="1:76" s="11" customFormat="1" x14ac:dyDescent="0.25">
      <c r="A253" s="359">
        <v>43234</v>
      </c>
      <c r="B253" s="131" t="s">
        <v>12</v>
      </c>
      <c r="C253" s="368" t="s">
        <v>2901</v>
      </c>
      <c r="D253" s="16" t="s">
        <v>54</v>
      </c>
      <c r="E253" s="41" t="s">
        <v>952</v>
      </c>
      <c r="F253" s="24" t="s">
        <v>67</v>
      </c>
      <c r="G253" s="452"/>
      <c r="H253" s="422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</row>
    <row r="254" spans="1:76" s="11" customFormat="1" x14ac:dyDescent="0.25">
      <c r="A254" s="359">
        <v>43234</v>
      </c>
      <c r="B254" s="131" t="s">
        <v>12</v>
      </c>
      <c r="C254" s="368" t="s">
        <v>2902</v>
      </c>
      <c r="D254" s="16" t="s">
        <v>54</v>
      </c>
      <c r="E254" s="41" t="s">
        <v>2649</v>
      </c>
      <c r="F254" s="24" t="s">
        <v>67</v>
      </c>
      <c r="G254" s="452"/>
      <c r="H254" s="422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</row>
    <row r="255" spans="1:76" s="11" customFormat="1" x14ac:dyDescent="0.25">
      <c r="A255" s="359">
        <v>43234</v>
      </c>
      <c r="B255" s="131" t="s">
        <v>12</v>
      </c>
      <c r="C255" s="368" t="s">
        <v>2903</v>
      </c>
      <c r="D255" s="16" t="s">
        <v>54</v>
      </c>
      <c r="E255" s="41" t="s">
        <v>2647</v>
      </c>
      <c r="F255" s="24" t="s">
        <v>67</v>
      </c>
      <c r="G255" s="86"/>
      <c r="H255" s="422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</row>
    <row r="256" spans="1:76" s="11" customFormat="1" x14ac:dyDescent="0.25">
      <c r="A256" s="359">
        <v>43234</v>
      </c>
      <c r="B256" s="131" t="s">
        <v>12</v>
      </c>
      <c r="C256" s="420" t="s">
        <v>2904</v>
      </c>
      <c r="D256" s="16" t="s">
        <v>54</v>
      </c>
      <c r="E256" s="41" t="s">
        <v>2649</v>
      </c>
      <c r="F256" s="24" t="s">
        <v>67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</row>
    <row r="257" spans="1:76" s="11" customFormat="1" x14ac:dyDescent="0.25">
      <c r="A257" s="88">
        <v>42629</v>
      </c>
      <c r="B257" s="131" t="s">
        <v>12</v>
      </c>
      <c r="C257" s="427" t="s">
        <v>2905</v>
      </c>
      <c r="D257" s="15" t="s">
        <v>54</v>
      </c>
      <c r="E257" s="16" t="s">
        <v>72</v>
      </c>
      <c r="F257" s="31" t="s">
        <v>67</v>
      </c>
      <c r="G257" s="42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:76" s="11" customFormat="1" x14ac:dyDescent="0.25">
      <c r="A258" s="88">
        <v>42395</v>
      </c>
      <c r="B258" s="131" t="s">
        <v>12</v>
      </c>
      <c r="C258" s="410" t="s">
        <v>2906</v>
      </c>
      <c r="D258" s="16" t="s">
        <v>54</v>
      </c>
      <c r="E258" s="16" t="s">
        <v>439</v>
      </c>
      <c r="F258" s="24" t="s">
        <v>67</v>
      </c>
      <c r="G258" s="87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</row>
    <row r="259" spans="1:76" s="11" customFormat="1" x14ac:dyDescent="0.25">
      <c r="A259" s="88">
        <v>42781</v>
      </c>
      <c r="B259" s="131" t="s">
        <v>12</v>
      </c>
      <c r="C259" s="423" t="s">
        <v>2907</v>
      </c>
      <c r="D259" s="16" t="s">
        <v>54</v>
      </c>
      <c r="E259" s="41" t="s">
        <v>952</v>
      </c>
      <c r="F259" s="31" t="s">
        <v>67</v>
      </c>
      <c r="G259" s="452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</row>
    <row r="260" spans="1:76" s="11" customFormat="1" x14ac:dyDescent="0.25">
      <c r="A260" s="359">
        <v>43234</v>
      </c>
      <c r="B260" s="131" t="s">
        <v>12</v>
      </c>
      <c r="C260" s="368" t="s">
        <v>2908</v>
      </c>
      <c r="D260" s="16" t="s">
        <v>54</v>
      </c>
      <c r="E260" s="41" t="s">
        <v>2654</v>
      </c>
      <c r="F260" s="24" t="s">
        <v>67</v>
      </c>
      <c r="G260" s="452"/>
      <c r="H260" s="422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</row>
    <row r="261" spans="1:76" s="11" customFormat="1" x14ac:dyDescent="0.25">
      <c r="A261" s="359">
        <v>43234</v>
      </c>
      <c r="B261" s="131" t="s">
        <v>12</v>
      </c>
      <c r="C261" s="368" t="s">
        <v>2909</v>
      </c>
      <c r="D261" s="16" t="s">
        <v>54</v>
      </c>
      <c r="E261" s="41" t="s">
        <v>2891</v>
      </c>
      <c r="F261" s="24" t="s">
        <v>67</v>
      </c>
      <c r="G261" s="86"/>
      <c r="H261" s="422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</row>
    <row r="262" spans="1:76" s="11" customFormat="1" x14ac:dyDescent="0.25">
      <c r="A262" s="88">
        <v>42781</v>
      </c>
      <c r="B262" s="131" t="s">
        <v>12</v>
      </c>
      <c r="C262" s="423" t="s">
        <v>2910</v>
      </c>
      <c r="D262" s="16" t="s">
        <v>54</v>
      </c>
      <c r="E262" s="41" t="s">
        <v>2911</v>
      </c>
      <c r="F262" s="31" t="s">
        <v>67</v>
      </c>
      <c r="G262" s="452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</row>
    <row r="263" spans="1:76" s="11" customFormat="1" x14ac:dyDescent="0.25">
      <c r="A263" s="88">
        <v>42781</v>
      </c>
      <c r="B263" s="131" t="s">
        <v>12</v>
      </c>
      <c r="C263" s="423" t="s">
        <v>2912</v>
      </c>
      <c r="D263" s="16" t="s">
        <v>54</v>
      </c>
      <c r="E263" s="41" t="s">
        <v>2649</v>
      </c>
      <c r="F263" s="31" t="s">
        <v>67</v>
      </c>
      <c r="G263" s="452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</row>
    <row r="264" spans="1:76" s="11" customFormat="1" x14ac:dyDescent="0.25">
      <c r="A264" s="359">
        <v>43234</v>
      </c>
      <c r="B264" s="131" t="s">
        <v>12</v>
      </c>
      <c r="C264" s="368" t="s">
        <v>2913</v>
      </c>
      <c r="D264" s="16" t="s">
        <v>54</v>
      </c>
      <c r="E264" s="41" t="s">
        <v>2654</v>
      </c>
      <c r="F264" s="24" t="s">
        <v>67</v>
      </c>
      <c r="G264" s="452"/>
      <c r="H264" s="422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</row>
    <row r="265" spans="1:76" s="11" customFormat="1" x14ac:dyDescent="0.25">
      <c r="A265" s="223"/>
      <c r="B265" s="131" t="s">
        <v>12</v>
      </c>
      <c r="C265" s="421" t="s">
        <v>2914</v>
      </c>
      <c r="D265" s="223" t="s">
        <v>54</v>
      </c>
      <c r="E265" s="29" t="s">
        <v>2876</v>
      </c>
      <c r="F265" s="31" t="s">
        <v>67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</row>
    <row r="266" spans="1:76" s="11" customFormat="1" x14ac:dyDescent="0.25">
      <c r="A266" s="359">
        <v>43234</v>
      </c>
      <c r="B266" s="131" t="s">
        <v>12</v>
      </c>
      <c r="C266" s="368" t="s">
        <v>2915</v>
      </c>
      <c r="D266" s="16" t="s">
        <v>54</v>
      </c>
      <c r="E266" s="41" t="s">
        <v>2649</v>
      </c>
      <c r="F266" s="24" t="s">
        <v>67</v>
      </c>
      <c r="G266" s="452"/>
      <c r="H266" s="422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</row>
    <row r="267" spans="1:76" s="11" customFormat="1" x14ac:dyDescent="0.25">
      <c r="A267" s="315">
        <v>42888</v>
      </c>
      <c r="B267" s="131" t="s">
        <v>12</v>
      </c>
      <c r="C267" s="423" t="s">
        <v>2916</v>
      </c>
      <c r="D267" s="16" t="s">
        <v>54</v>
      </c>
      <c r="E267" s="41" t="s">
        <v>2649</v>
      </c>
      <c r="F267" s="24" t="s">
        <v>67</v>
      </c>
      <c r="G267" s="42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</row>
    <row r="268" spans="1:76" s="11" customFormat="1" x14ac:dyDescent="0.25">
      <c r="A268" s="88">
        <v>42781</v>
      </c>
      <c r="B268" s="131" t="s">
        <v>12</v>
      </c>
      <c r="C268" s="423" t="s">
        <v>2917</v>
      </c>
      <c r="D268" s="16" t="s">
        <v>54</v>
      </c>
      <c r="E268" s="41" t="s">
        <v>2655</v>
      </c>
      <c r="F268" s="31" t="s">
        <v>67</v>
      </c>
      <c r="G268" s="452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</row>
    <row r="269" spans="1:76" s="11" customFormat="1" x14ac:dyDescent="0.25">
      <c r="A269" s="223"/>
      <c r="B269" s="131" t="s">
        <v>12</v>
      </c>
      <c r="C269" s="421" t="s">
        <v>2918</v>
      </c>
      <c r="D269" s="223" t="s">
        <v>54</v>
      </c>
      <c r="E269" s="29" t="s">
        <v>2919</v>
      </c>
      <c r="F269" s="31" t="s">
        <v>67</v>
      </c>
      <c r="G269" s="452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</row>
    <row r="270" spans="1:76" s="11" customFormat="1" x14ac:dyDescent="0.25">
      <c r="A270" s="16"/>
      <c r="B270" s="428" t="s">
        <v>12</v>
      </c>
      <c r="C270" s="425" t="s">
        <v>2920</v>
      </c>
      <c r="D270" s="223" t="s">
        <v>54</v>
      </c>
      <c r="E270" s="426" t="s">
        <v>2654</v>
      </c>
      <c r="F270" s="31" t="s">
        <v>67</v>
      </c>
      <c r="G270" s="86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</row>
    <row r="271" spans="1:76" s="11" customFormat="1" x14ac:dyDescent="0.25">
      <c r="A271" s="315">
        <v>42888</v>
      </c>
      <c r="B271" s="131" t="s">
        <v>12</v>
      </c>
      <c r="C271" s="423" t="s">
        <v>2921</v>
      </c>
      <c r="D271" s="16" t="s">
        <v>54</v>
      </c>
      <c r="E271" s="41" t="s">
        <v>2649</v>
      </c>
      <c r="F271" s="24" t="s">
        <v>67</v>
      </c>
      <c r="G271" s="431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</row>
    <row r="272" spans="1:76" s="11" customFormat="1" x14ac:dyDescent="0.25">
      <c r="A272" s="16"/>
      <c r="B272" s="428" t="s">
        <v>12</v>
      </c>
      <c r="C272" s="425" t="s">
        <v>2922</v>
      </c>
      <c r="D272" s="223" t="s">
        <v>54</v>
      </c>
      <c r="E272" s="426" t="s">
        <v>2923</v>
      </c>
      <c r="F272" s="31" t="s">
        <v>67</v>
      </c>
      <c r="G272" s="86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</row>
    <row r="273" spans="1:76" s="11" customFormat="1" x14ac:dyDescent="0.25">
      <c r="A273" s="88">
        <v>42629</v>
      </c>
      <c r="B273" s="131" t="s">
        <v>12</v>
      </c>
      <c r="C273" s="410" t="s">
        <v>2924</v>
      </c>
      <c r="D273" s="16" t="s">
        <v>54</v>
      </c>
      <c r="E273" s="16" t="s">
        <v>72</v>
      </c>
      <c r="F273" s="31" t="s">
        <v>67</v>
      </c>
      <c r="G273" s="435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:76" s="11" customFormat="1" x14ac:dyDescent="0.25">
      <c r="A274" s="359">
        <v>43234</v>
      </c>
      <c r="B274" s="131" t="s">
        <v>12</v>
      </c>
      <c r="C274" s="368" t="s">
        <v>2925</v>
      </c>
      <c r="D274" s="16" t="s">
        <v>54</v>
      </c>
      <c r="E274" s="41" t="s">
        <v>2654</v>
      </c>
      <c r="F274" s="24" t="s">
        <v>67</v>
      </c>
      <c r="G274" s="452"/>
      <c r="H274" s="422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</row>
    <row r="275" spans="1:76" s="11" customFormat="1" x14ac:dyDescent="0.25">
      <c r="A275" s="88">
        <v>42781</v>
      </c>
      <c r="B275" s="131" t="s">
        <v>12</v>
      </c>
      <c r="C275" s="423" t="s">
        <v>2926</v>
      </c>
      <c r="D275" s="16" t="s">
        <v>54</v>
      </c>
      <c r="E275" s="41" t="s">
        <v>2649</v>
      </c>
      <c r="F275" s="31" t="s">
        <v>67</v>
      </c>
      <c r="G275" s="42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</row>
    <row r="276" spans="1:76" s="11" customFormat="1" x14ac:dyDescent="0.25">
      <c r="A276" s="16"/>
      <c r="B276" s="428" t="s">
        <v>12</v>
      </c>
      <c r="C276" s="425" t="s">
        <v>2927</v>
      </c>
      <c r="D276" s="223" t="s">
        <v>54</v>
      </c>
      <c r="E276" s="426" t="s">
        <v>2928</v>
      </c>
      <c r="F276" s="31" t="s">
        <v>67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</row>
    <row r="277" spans="1:76" s="11" customFormat="1" x14ac:dyDescent="0.25">
      <c r="A277" s="88">
        <v>42629</v>
      </c>
      <c r="B277" s="131" t="s">
        <v>12</v>
      </c>
      <c r="C277" s="410" t="s">
        <v>2929</v>
      </c>
      <c r="D277" s="16" t="s">
        <v>54</v>
      </c>
      <c r="E277" s="342" t="s">
        <v>2799</v>
      </c>
      <c r="F277" s="24" t="s">
        <v>67</v>
      </c>
      <c r="G277" s="419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:76" s="11" customFormat="1" x14ac:dyDescent="0.25">
      <c r="A278" s="359">
        <v>43234</v>
      </c>
      <c r="B278" s="131" t="s">
        <v>12</v>
      </c>
      <c r="C278" s="368" t="s">
        <v>2930</v>
      </c>
      <c r="D278" s="16" t="s">
        <v>54</v>
      </c>
      <c r="E278" s="41" t="s">
        <v>2655</v>
      </c>
      <c r="F278" s="24" t="s">
        <v>67</v>
      </c>
      <c r="G278" s="86"/>
      <c r="H278" s="422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</row>
    <row r="279" spans="1:76" s="11" customFormat="1" x14ac:dyDescent="0.25">
      <c r="A279" s="88">
        <v>42534</v>
      </c>
      <c r="B279" s="131" t="s">
        <v>2847</v>
      </c>
      <c r="C279" s="410" t="s">
        <v>2931</v>
      </c>
      <c r="D279" s="16" t="s">
        <v>54</v>
      </c>
      <c r="E279" s="16" t="s">
        <v>72</v>
      </c>
      <c r="F279" s="24" t="s">
        <v>67</v>
      </c>
      <c r="G279" s="432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:76" s="11" customFormat="1" x14ac:dyDescent="0.25">
      <c r="A280" s="315">
        <v>43035</v>
      </c>
      <c r="B280" s="131" t="s">
        <v>12</v>
      </c>
      <c r="C280" s="423" t="s">
        <v>2932</v>
      </c>
      <c r="D280" s="16" t="s">
        <v>54</v>
      </c>
      <c r="E280" s="41" t="str">
        <f>VLOOKUP(C280,'[2]2018 Pricing'!$K$12:$O$3176,5,0)</f>
        <v>Round Air Filter</v>
      </c>
      <c r="F280" s="24" t="s">
        <v>67</v>
      </c>
      <c r="G280" s="42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</row>
    <row r="281" spans="1:76" s="11" customFormat="1" x14ac:dyDescent="0.25">
      <c r="A281" s="359">
        <v>43234</v>
      </c>
      <c r="B281" s="131" t="s">
        <v>12</v>
      </c>
      <c r="C281" s="368" t="s">
        <v>2933</v>
      </c>
      <c r="D281" s="16" t="s">
        <v>54</v>
      </c>
      <c r="E281" s="41" t="s">
        <v>2655</v>
      </c>
      <c r="F281" s="24" t="s">
        <v>67</v>
      </c>
      <c r="G281" s="452"/>
      <c r="H281" s="422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</row>
    <row r="282" spans="1:76" s="11" customFormat="1" x14ac:dyDescent="0.25">
      <c r="A282" s="88">
        <v>42395</v>
      </c>
      <c r="B282" s="131" t="s">
        <v>12</v>
      </c>
      <c r="C282" s="410" t="s">
        <v>2934</v>
      </c>
      <c r="D282" s="16" t="s">
        <v>54</v>
      </c>
      <c r="E282" s="16" t="s">
        <v>439</v>
      </c>
      <c r="F282" s="24" t="s">
        <v>67</v>
      </c>
      <c r="G282" s="449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</row>
    <row r="283" spans="1:76" s="11" customFormat="1" x14ac:dyDescent="0.25">
      <c r="A283" s="88">
        <v>42395</v>
      </c>
      <c r="B283" s="131" t="s">
        <v>12</v>
      </c>
      <c r="C283" s="410" t="s">
        <v>2935</v>
      </c>
      <c r="D283" s="16" t="s">
        <v>54</v>
      </c>
      <c r="E283" s="16" t="s">
        <v>439</v>
      </c>
      <c r="F283" s="24" t="s">
        <v>67</v>
      </c>
      <c r="G283" s="449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</row>
    <row r="284" spans="1:76" s="11" customFormat="1" x14ac:dyDescent="0.25">
      <c r="A284" s="359">
        <v>43234</v>
      </c>
      <c r="B284" s="131" t="s">
        <v>12</v>
      </c>
      <c r="C284" s="368" t="s">
        <v>2936</v>
      </c>
      <c r="D284" s="16" t="s">
        <v>54</v>
      </c>
      <c r="E284" s="41" t="s">
        <v>2649</v>
      </c>
      <c r="F284" s="24" t="s">
        <v>67</v>
      </c>
      <c r="G284" s="452"/>
      <c r="H284" s="422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</row>
    <row r="285" spans="1:76" s="11" customFormat="1" x14ac:dyDescent="0.25">
      <c r="A285" s="88">
        <v>42395</v>
      </c>
      <c r="B285" s="131" t="s">
        <v>12</v>
      </c>
      <c r="C285" s="427" t="s">
        <v>71</v>
      </c>
      <c r="D285" s="16" t="s">
        <v>54</v>
      </c>
      <c r="E285" s="16" t="s">
        <v>439</v>
      </c>
      <c r="F285" s="24" t="s">
        <v>2937</v>
      </c>
      <c r="G285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</row>
    <row r="286" spans="1:76" s="11" customFormat="1" x14ac:dyDescent="0.25">
      <c r="A286" s="223"/>
      <c r="B286" s="131" t="s">
        <v>12</v>
      </c>
      <c r="C286" s="421" t="s">
        <v>2938</v>
      </c>
      <c r="D286" s="223" t="s">
        <v>54</v>
      </c>
      <c r="E286" s="29" t="s">
        <v>2876</v>
      </c>
      <c r="F286" s="31" t="s">
        <v>67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</row>
    <row r="287" spans="1:76" s="11" customFormat="1" x14ac:dyDescent="0.25">
      <c r="A287" s="88">
        <v>42781</v>
      </c>
      <c r="B287" s="131" t="s">
        <v>12</v>
      </c>
      <c r="C287" s="423" t="s">
        <v>2939</v>
      </c>
      <c r="D287" s="16" t="s">
        <v>54</v>
      </c>
      <c r="E287" s="41" t="s">
        <v>2940</v>
      </c>
      <c r="F287" s="31" t="s">
        <v>67</v>
      </c>
      <c r="G287" s="42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1:76" s="11" customFormat="1" x14ac:dyDescent="0.25">
      <c r="A288" s="88">
        <v>42781</v>
      </c>
      <c r="B288" s="131" t="s">
        <v>12</v>
      </c>
      <c r="C288" s="423" t="s">
        <v>2941</v>
      </c>
      <c r="D288" s="16" t="s">
        <v>54</v>
      </c>
      <c r="E288" s="41" t="s">
        <v>2652</v>
      </c>
      <c r="F288" s="31" t="s">
        <v>67</v>
      </c>
      <c r="G288" s="42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1:76" s="11" customFormat="1" x14ac:dyDescent="0.25">
      <c r="A289" s="88">
        <v>42781</v>
      </c>
      <c r="B289" s="131" t="s">
        <v>12</v>
      </c>
      <c r="C289" s="423" t="s">
        <v>2942</v>
      </c>
      <c r="D289" s="16" t="s">
        <v>54</v>
      </c>
      <c r="E289" s="41" t="s">
        <v>877</v>
      </c>
      <c r="F289" s="31" t="s">
        <v>67</v>
      </c>
      <c r="G289" s="452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</row>
    <row r="290" spans="1:76" s="11" customFormat="1" x14ac:dyDescent="0.25">
      <c r="A290" s="88">
        <v>42781</v>
      </c>
      <c r="B290" s="131" t="s">
        <v>12</v>
      </c>
      <c r="C290" s="423" t="s">
        <v>2943</v>
      </c>
      <c r="D290" s="16" t="s">
        <v>54</v>
      </c>
      <c r="E290" s="41" t="s">
        <v>2652</v>
      </c>
      <c r="F290" s="31" t="s">
        <v>67</v>
      </c>
      <c r="G290" s="42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1:76" s="11" customFormat="1" x14ac:dyDescent="0.25">
      <c r="A291" s="359">
        <v>43234</v>
      </c>
      <c r="B291" s="131" t="s">
        <v>12</v>
      </c>
      <c r="C291" s="368" t="s">
        <v>2944</v>
      </c>
      <c r="D291" s="16" t="s">
        <v>54</v>
      </c>
      <c r="E291" s="41" t="s">
        <v>2655</v>
      </c>
      <c r="F291" s="24" t="s">
        <v>67</v>
      </c>
      <c r="G291" s="452"/>
      <c r="H291" s="422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1:76" s="11" customFormat="1" x14ac:dyDescent="0.25">
      <c r="A292" s="16"/>
      <c r="B292" s="428" t="s">
        <v>12</v>
      </c>
      <c r="C292" s="425" t="s">
        <v>1831</v>
      </c>
      <c r="D292" s="223" t="s">
        <v>54</v>
      </c>
      <c r="E292" s="426" t="s">
        <v>2928</v>
      </c>
      <c r="F292" s="31" t="s">
        <v>67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</row>
    <row r="293" spans="1:76" s="11" customFormat="1" x14ac:dyDescent="0.25">
      <c r="A293" s="359">
        <v>43234</v>
      </c>
      <c r="B293" s="131" t="s">
        <v>12</v>
      </c>
      <c r="C293" s="368" t="s">
        <v>2945</v>
      </c>
      <c r="D293" s="16" t="s">
        <v>54</v>
      </c>
      <c r="E293" s="41" t="s">
        <v>2647</v>
      </c>
      <c r="F293" s="24" t="s">
        <v>67</v>
      </c>
      <c r="G293" s="452"/>
      <c r="H293" s="422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1:76" s="11" customFormat="1" x14ac:dyDescent="0.25">
      <c r="A294" s="315">
        <v>43084</v>
      </c>
      <c r="B294" s="131" t="s">
        <v>12</v>
      </c>
      <c r="C294" s="423" t="s">
        <v>2946</v>
      </c>
      <c r="D294" s="16" t="s">
        <v>54</v>
      </c>
      <c r="E294" s="41" t="s">
        <v>2649</v>
      </c>
      <c r="F294" s="24" t="s">
        <v>67</v>
      </c>
      <c r="G294" s="42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1:76" s="11" customFormat="1" x14ac:dyDescent="0.25">
      <c r="A295" s="88">
        <v>42781</v>
      </c>
      <c r="B295" s="131" t="s">
        <v>12</v>
      </c>
      <c r="C295" s="423" t="s">
        <v>2947</v>
      </c>
      <c r="D295" s="16" t="s">
        <v>54</v>
      </c>
      <c r="E295" s="41" t="s">
        <v>2655</v>
      </c>
      <c r="F295" s="31" t="s">
        <v>67</v>
      </c>
      <c r="G295" s="452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1:76" s="11" customFormat="1" x14ac:dyDescent="0.25">
      <c r="A296" s="223"/>
      <c r="B296" s="131" t="s">
        <v>12</v>
      </c>
      <c r="C296" s="421" t="s">
        <v>2948</v>
      </c>
      <c r="D296" s="223" t="s">
        <v>54</v>
      </c>
      <c r="E296" s="29" t="s">
        <v>2787</v>
      </c>
      <c r="F296" s="31" t="s">
        <v>67</v>
      </c>
      <c r="G296" s="449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</row>
    <row r="297" spans="1:76" s="11" customFormat="1" x14ac:dyDescent="0.25">
      <c r="A297" s="223"/>
      <c r="B297" s="131" t="s">
        <v>12</v>
      </c>
      <c r="C297" s="421" t="s">
        <v>2949</v>
      </c>
      <c r="D297" s="223" t="s">
        <v>54</v>
      </c>
      <c r="E297" s="29" t="s">
        <v>2950</v>
      </c>
      <c r="F297" s="31" t="s">
        <v>67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</row>
    <row r="298" spans="1:76" s="11" customFormat="1" x14ac:dyDescent="0.25">
      <c r="A298" s="88">
        <v>42781</v>
      </c>
      <c r="B298" s="131" t="s">
        <v>12</v>
      </c>
      <c r="C298" s="423" t="s">
        <v>2951</v>
      </c>
      <c r="D298" s="16" t="s">
        <v>54</v>
      </c>
      <c r="E298" s="41" t="s">
        <v>2649</v>
      </c>
      <c r="F298" s="31" t="s">
        <v>67</v>
      </c>
      <c r="G298" s="42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</row>
    <row r="299" spans="1:76" s="11" customFormat="1" x14ac:dyDescent="0.25">
      <c r="A299" s="223"/>
      <c r="B299" s="131" t="s">
        <v>12</v>
      </c>
      <c r="C299" s="421" t="s">
        <v>2951</v>
      </c>
      <c r="D299" s="223" t="s">
        <v>54</v>
      </c>
      <c r="E299" s="29" t="s">
        <v>2649</v>
      </c>
      <c r="F299" s="31" t="s">
        <v>67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</row>
    <row r="300" spans="1:76" s="11" customFormat="1" x14ac:dyDescent="0.25">
      <c r="A300" s="88">
        <v>42725</v>
      </c>
      <c r="B300" s="131" t="s">
        <v>12</v>
      </c>
      <c r="C300" s="410" t="s">
        <v>2952</v>
      </c>
      <c r="D300" s="16" t="s">
        <v>54</v>
      </c>
      <c r="E300" s="405" t="s">
        <v>2652</v>
      </c>
      <c r="F300" s="24" t="s">
        <v>2953</v>
      </c>
      <c r="G300" s="419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:76" s="11" customFormat="1" x14ac:dyDescent="0.25">
      <c r="A301" s="88">
        <v>42781</v>
      </c>
      <c r="B301" s="131" t="s">
        <v>12</v>
      </c>
      <c r="C301" s="423" t="s">
        <v>2954</v>
      </c>
      <c r="D301" s="16" t="s">
        <v>54</v>
      </c>
      <c r="E301" s="41" t="s">
        <v>2649</v>
      </c>
      <c r="F301" s="31" t="s">
        <v>67</v>
      </c>
      <c r="G301" s="42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1:76" s="11" customFormat="1" x14ac:dyDescent="0.25">
      <c r="A302" s="223"/>
      <c r="B302" s="131" t="s">
        <v>12</v>
      </c>
      <c r="C302" s="421" t="s">
        <v>2955</v>
      </c>
      <c r="D302" s="223" t="s">
        <v>54</v>
      </c>
      <c r="E302" s="29" t="s">
        <v>2649</v>
      </c>
      <c r="F302" s="31" t="s">
        <v>67</v>
      </c>
      <c r="G302" s="87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</row>
    <row r="303" spans="1:76" s="11" customFormat="1" x14ac:dyDescent="0.25">
      <c r="A303" s="359">
        <v>43234</v>
      </c>
      <c r="B303" s="131" t="s">
        <v>12</v>
      </c>
      <c r="C303" s="420" t="s">
        <v>2956</v>
      </c>
      <c r="D303" s="16" t="s">
        <v>54</v>
      </c>
      <c r="E303" s="41" t="s">
        <v>2647</v>
      </c>
      <c r="F303" s="24" t="s">
        <v>67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</row>
    <row r="304" spans="1:76" s="11" customFormat="1" x14ac:dyDescent="0.25">
      <c r="A304" s="315">
        <v>43084</v>
      </c>
      <c r="B304" s="131" t="s">
        <v>12</v>
      </c>
      <c r="C304" s="423" t="s">
        <v>2957</v>
      </c>
      <c r="D304" s="16" t="s">
        <v>54</v>
      </c>
      <c r="E304" s="41" t="s">
        <v>2440</v>
      </c>
      <c r="F304" s="24" t="s">
        <v>67</v>
      </c>
      <c r="G304" s="42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1:76" s="11" customFormat="1" x14ac:dyDescent="0.25">
      <c r="A305" s="223"/>
      <c r="B305" s="131" t="s">
        <v>12</v>
      </c>
      <c r="C305" s="421" t="s">
        <v>2958</v>
      </c>
      <c r="D305" s="223" t="s">
        <v>54</v>
      </c>
      <c r="E305" s="29" t="s">
        <v>2659</v>
      </c>
      <c r="F305" s="31" t="s">
        <v>67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</row>
    <row r="306" spans="1:76" s="11" customFormat="1" x14ac:dyDescent="0.25">
      <c r="A306" s="359">
        <v>43234</v>
      </c>
      <c r="B306" s="131" t="s">
        <v>12</v>
      </c>
      <c r="C306" s="368" t="s">
        <v>2959</v>
      </c>
      <c r="D306" s="16" t="s">
        <v>54</v>
      </c>
      <c r="E306" s="41" t="s">
        <v>2960</v>
      </c>
      <c r="F306" s="24" t="s">
        <v>67</v>
      </c>
      <c r="G306" s="86"/>
      <c r="H306" s="422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1:76" s="11" customFormat="1" x14ac:dyDescent="0.25">
      <c r="A307" s="359">
        <v>43234</v>
      </c>
      <c r="B307" s="131" t="s">
        <v>12</v>
      </c>
      <c r="C307" s="368" t="s">
        <v>2961</v>
      </c>
      <c r="D307" s="16" t="s">
        <v>54</v>
      </c>
      <c r="E307" s="41" t="s">
        <v>952</v>
      </c>
      <c r="F307" s="24" t="s">
        <v>67</v>
      </c>
      <c r="G307" s="86"/>
      <c r="H307" s="422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1:76" s="11" customFormat="1" x14ac:dyDescent="0.25">
      <c r="A308" s="88">
        <v>42629</v>
      </c>
      <c r="B308" s="131" t="s">
        <v>12</v>
      </c>
      <c r="C308" s="427" t="s">
        <v>2962</v>
      </c>
      <c r="D308" s="15" t="s">
        <v>54</v>
      </c>
      <c r="E308" s="16" t="s">
        <v>72</v>
      </c>
      <c r="F308" s="31" t="s">
        <v>67</v>
      </c>
      <c r="G308" s="42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:76" s="11" customFormat="1" x14ac:dyDescent="0.25">
      <c r="A309" s="88">
        <v>42534</v>
      </c>
      <c r="B309" s="131" t="s">
        <v>2847</v>
      </c>
      <c r="C309" s="410" t="s">
        <v>2963</v>
      </c>
      <c r="D309" s="16" t="s">
        <v>54</v>
      </c>
      <c r="E309" s="16" t="s">
        <v>72</v>
      </c>
      <c r="F309" s="24" t="s">
        <v>67</v>
      </c>
      <c r="G309" s="436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:76" s="11" customFormat="1" x14ac:dyDescent="0.25">
      <c r="A310" s="315">
        <v>43084</v>
      </c>
      <c r="B310" s="131" t="s">
        <v>12</v>
      </c>
      <c r="C310" s="423" t="s">
        <v>2964</v>
      </c>
      <c r="D310" s="16" t="s">
        <v>54</v>
      </c>
      <c r="E310" s="41" t="s">
        <v>2440</v>
      </c>
      <c r="F310" s="24" t="s">
        <v>67</v>
      </c>
      <c r="G310" s="42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1:76" s="11" customFormat="1" x14ac:dyDescent="0.25">
      <c r="A311" s="16"/>
      <c r="B311" s="428" t="s">
        <v>12</v>
      </c>
      <c r="C311" s="425" t="s">
        <v>2965</v>
      </c>
      <c r="D311" s="223" t="s">
        <v>54</v>
      </c>
      <c r="E311" s="426" t="s">
        <v>2649</v>
      </c>
      <c r="F311" s="31" t="s">
        <v>67</v>
      </c>
      <c r="G311" s="452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</row>
    <row r="312" spans="1:76" s="11" customFormat="1" x14ac:dyDescent="0.25">
      <c r="A312" s="88">
        <v>42395</v>
      </c>
      <c r="B312" s="131" t="s">
        <v>12</v>
      </c>
      <c r="C312" s="410" t="s">
        <v>2966</v>
      </c>
      <c r="D312" s="16" t="s">
        <v>54</v>
      </c>
      <c r="E312" s="16" t="s">
        <v>439</v>
      </c>
      <c r="F312" s="24" t="s">
        <v>67</v>
      </c>
      <c r="G312" s="87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</row>
    <row r="313" spans="1:76" s="11" customFormat="1" x14ac:dyDescent="0.25">
      <c r="A313" s="359">
        <v>43234</v>
      </c>
      <c r="B313" s="131" t="s">
        <v>12</v>
      </c>
      <c r="C313" s="420" t="s">
        <v>2967</v>
      </c>
      <c r="D313" s="16" t="s">
        <v>54</v>
      </c>
      <c r="E313" s="41" t="s">
        <v>2655</v>
      </c>
      <c r="F313" s="24" t="s">
        <v>67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</row>
    <row r="314" spans="1:76" s="11" customFormat="1" x14ac:dyDescent="0.25">
      <c r="A314" s="88">
        <v>42781</v>
      </c>
      <c r="B314" s="131" t="s">
        <v>12</v>
      </c>
      <c r="C314" s="423" t="s">
        <v>2968</v>
      </c>
      <c r="D314" s="16" t="s">
        <v>54</v>
      </c>
      <c r="E314" s="41" t="s">
        <v>2960</v>
      </c>
      <c r="F314" s="31" t="s">
        <v>67</v>
      </c>
      <c r="G314" s="42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</row>
    <row r="315" spans="1:76" s="11" customFormat="1" x14ac:dyDescent="0.25">
      <c r="A315" s="88">
        <v>42781</v>
      </c>
      <c r="B315" s="131" t="s">
        <v>12</v>
      </c>
      <c r="C315" s="423" t="s">
        <v>2969</v>
      </c>
      <c r="D315" s="16" t="s">
        <v>54</v>
      </c>
      <c r="E315" s="41" t="s">
        <v>2960</v>
      </c>
      <c r="F315" s="31" t="s">
        <v>67</v>
      </c>
      <c r="G315" s="42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1:76" s="11" customFormat="1" x14ac:dyDescent="0.25">
      <c r="A316" s="223"/>
      <c r="B316" s="131" t="s">
        <v>12</v>
      </c>
      <c r="C316" s="421" t="s">
        <v>2969</v>
      </c>
      <c r="D316" s="223" t="s">
        <v>54</v>
      </c>
      <c r="E316" s="29" t="s">
        <v>2970</v>
      </c>
      <c r="F316" s="31" t="s">
        <v>67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</row>
    <row r="317" spans="1:76" s="11" customFormat="1" x14ac:dyDescent="0.25">
      <c r="A317" s="88">
        <v>42781</v>
      </c>
      <c r="B317" s="131" t="s">
        <v>12</v>
      </c>
      <c r="C317" s="423" t="s">
        <v>2971</v>
      </c>
      <c r="D317" s="16" t="s">
        <v>54</v>
      </c>
      <c r="E317" s="41" t="s">
        <v>2940</v>
      </c>
      <c r="F317" s="31" t="s">
        <v>67</v>
      </c>
      <c r="G317" s="42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1:76" s="11" customFormat="1" x14ac:dyDescent="0.25">
      <c r="A318" s="359">
        <v>43234</v>
      </c>
      <c r="B318" s="131" t="s">
        <v>12</v>
      </c>
      <c r="C318" s="420" t="s">
        <v>2972</v>
      </c>
      <c r="D318" s="16" t="s">
        <v>54</v>
      </c>
      <c r="E318" s="41" t="s">
        <v>2649</v>
      </c>
      <c r="F318" s="24" t="s">
        <v>67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</row>
    <row r="319" spans="1:76" s="11" customFormat="1" x14ac:dyDescent="0.25">
      <c r="A319" s="88">
        <v>42781</v>
      </c>
      <c r="B319" s="131" t="s">
        <v>12</v>
      </c>
      <c r="C319" s="423" t="s">
        <v>2973</v>
      </c>
      <c r="D319" s="16" t="s">
        <v>54</v>
      </c>
      <c r="E319" s="41" t="s">
        <v>2649</v>
      </c>
      <c r="F319" s="31" t="s">
        <v>67</v>
      </c>
      <c r="G319" s="42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1:76" s="11" customFormat="1" x14ac:dyDescent="0.25">
      <c r="A320" s="88">
        <v>42781</v>
      </c>
      <c r="B320" s="131" t="s">
        <v>12</v>
      </c>
      <c r="C320" s="423" t="s">
        <v>2974</v>
      </c>
      <c r="D320" s="16" t="s">
        <v>54</v>
      </c>
      <c r="E320" s="41" t="s">
        <v>2649</v>
      </c>
      <c r="F320" s="31" t="s">
        <v>67</v>
      </c>
      <c r="G320" s="42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1:76" s="11" customFormat="1" x14ac:dyDescent="0.25">
      <c r="A321" s="223"/>
      <c r="B321" s="131" t="s">
        <v>12</v>
      </c>
      <c r="C321" s="421" t="s">
        <v>2975</v>
      </c>
      <c r="D321" s="223" t="s">
        <v>54</v>
      </c>
      <c r="E321" s="29" t="s">
        <v>2876</v>
      </c>
      <c r="F321" s="31" t="s">
        <v>67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</row>
    <row r="322" spans="1:76" s="11" customFormat="1" x14ac:dyDescent="0.25">
      <c r="A322" s="223"/>
      <c r="B322" s="131" t="s">
        <v>12</v>
      </c>
      <c r="C322" s="421" t="s">
        <v>2976</v>
      </c>
      <c r="D322" s="223" t="s">
        <v>54</v>
      </c>
      <c r="E322" s="29" t="s">
        <v>2876</v>
      </c>
      <c r="F322" s="31" t="s">
        <v>67</v>
      </c>
      <c r="G322" s="87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</row>
    <row r="323" spans="1:76" s="11" customFormat="1" x14ac:dyDescent="0.25">
      <c r="A323" s="16"/>
      <c r="B323" s="428" t="s">
        <v>12</v>
      </c>
      <c r="C323" s="429" t="s">
        <v>2977</v>
      </c>
      <c r="D323" s="223" t="s">
        <v>54</v>
      </c>
      <c r="E323" s="426" t="s">
        <v>2898</v>
      </c>
      <c r="F323" s="31" t="s">
        <v>67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</row>
    <row r="324" spans="1:76" s="11" customFormat="1" x14ac:dyDescent="0.25">
      <c r="A324" s="88">
        <v>42781</v>
      </c>
      <c r="B324" s="131" t="s">
        <v>12</v>
      </c>
      <c r="C324" s="423" t="s">
        <v>2978</v>
      </c>
      <c r="D324" s="16" t="s">
        <v>54</v>
      </c>
      <c r="E324" s="41" t="s">
        <v>2655</v>
      </c>
      <c r="F324" s="31" t="s">
        <v>67</v>
      </c>
      <c r="G324" s="42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</row>
    <row r="325" spans="1:76" s="11" customFormat="1" x14ac:dyDescent="0.25">
      <c r="A325" s="359">
        <v>43123</v>
      </c>
      <c r="B325" s="131" t="s">
        <v>12</v>
      </c>
      <c r="C325" s="423" t="s">
        <v>2979</v>
      </c>
      <c r="D325" s="16" t="s">
        <v>54</v>
      </c>
      <c r="E325" s="41" t="s">
        <v>2655</v>
      </c>
      <c r="F325" s="24" t="s">
        <v>67</v>
      </c>
      <c r="G325" s="42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</row>
    <row r="326" spans="1:76" s="11" customFormat="1" x14ac:dyDescent="0.25">
      <c r="A326" s="88">
        <v>42534</v>
      </c>
      <c r="B326" s="131" t="s">
        <v>2847</v>
      </c>
      <c r="C326" s="410" t="s">
        <v>2980</v>
      </c>
      <c r="D326" s="16" t="s">
        <v>54</v>
      </c>
      <c r="E326" s="16" t="s">
        <v>72</v>
      </c>
      <c r="F326" s="24" t="s">
        <v>67</v>
      </c>
      <c r="G326" s="432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:76" s="11" customFormat="1" x14ac:dyDescent="0.25">
      <c r="A327" s="88">
        <v>42395</v>
      </c>
      <c r="B327" s="131" t="s">
        <v>12</v>
      </c>
      <c r="C327" s="410" t="s">
        <v>2981</v>
      </c>
      <c r="D327" s="16" t="s">
        <v>54</v>
      </c>
      <c r="E327" s="16" t="s">
        <v>439</v>
      </c>
      <c r="F327" s="24" t="s">
        <v>67</v>
      </c>
      <c r="G327" s="87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</row>
    <row r="328" spans="1:76" s="11" customFormat="1" x14ac:dyDescent="0.25">
      <c r="A328" s="88">
        <v>42629</v>
      </c>
      <c r="B328" s="131" t="s">
        <v>12</v>
      </c>
      <c r="C328" s="410" t="s">
        <v>2982</v>
      </c>
      <c r="D328" s="16" t="s">
        <v>54</v>
      </c>
      <c r="E328" s="342" t="s">
        <v>2799</v>
      </c>
      <c r="F328" s="24" t="s">
        <v>67</v>
      </c>
      <c r="G328" s="419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:76" s="11" customFormat="1" x14ac:dyDescent="0.25">
      <c r="A329" s="359">
        <v>43115</v>
      </c>
      <c r="B329" s="131" t="s">
        <v>12</v>
      </c>
      <c r="C329" s="423" t="s">
        <v>2983</v>
      </c>
      <c r="D329" s="16" t="s">
        <v>54</v>
      </c>
      <c r="E329" s="41" t="s">
        <v>2898</v>
      </c>
      <c r="F329" s="24" t="s">
        <v>67</v>
      </c>
      <c r="G329" s="42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</row>
    <row r="330" spans="1:76" s="11" customFormat="1" x14ac:dyDescent="0.25">
      <c r="A330" s="88">
        <v>42395</v>
      </c>
      <c r="B330" s="131" t="s">
        <v>12</v>
      </c>
      <c r="C330" s="410" t="s">
        <v>2984</v>
      </c>
      <c r="D330" s="16" t="s">
        <v>54</v>
      </c>
      <c r="E330" s="16" t="s">
        <v>439</v>
      </c>
      <c r="F330" s="24" t="s">
        <v>67</v>
      </c>
      <c r="G330" s="87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</row>
    <row r="331" spans="1:76" s="11" customFormat="1" x14ac:dyDescent="0.25">
      <c r="A331" s="88">
        <v>42781</v>
      </c>
      <c r="B331" s="131" t="s">
        <v>12</v>
      </c>
      <c r="C331" s="423" t="s">
        <v>2985</v>
      </c>
      <c r="D331" s="16" t="s">
        <v>54</v>
      </c>
      <c r="E331" s="41" t="s">
        <v>952</v>
      </c>
      <c r="F331" s="31" t="s">
        <v>67</v>
      </c>
      <c r="G331" s="42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</row>
    <row r="332" spans="1:76" s="11" customFormat="1" x14ac:dyDescent="0.25">
      <c r="A332" s="359">
        <v>43234</v>
      </c>
      <c r="B332" s="131" t="s">
        <v>12</v>
      </c>
      <c r="C332" s="420" t="s">
        <v>2986</v>
      </c>
      <c r="D332" s="16" t="s">
        <v>54</v>
      </c>
      <c r="E332" s="41" t="s">
        <v>2655</v>
      </c>
      <c r="F332" s="24" t="s">
        <v>67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</row>
    <row r="333" spans="1:76" s="11" customFormat="1" x14ac:dyDescent="0.25">
      <c r="A333" s="359">
        <v>43234</v>
      </c>
      <c r="B333" s="131" t="s">
        <v>12</v>
      </c>
      <c r="C333" s="368" t="s">
        <v>2987</v>
      </c>
      <c r="D333" s="16" t="s">
        <v>54</v>
      </c>
      <c r="E333" s="41" t="s">
        <v>2655</v>
      </c>
      <c r="F333" s="24" t="s">
        <v>67</v>
      </c>
      <c r="G333" s="86"/>
      <c r="H333" s="422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</row>
    <row r="334" spans="1:76" s="11" customFormat="1" x14ac:dyDescent="0.25">
      <c r="A334" s="359">
        <v>43234</v>
      </c>
      <c r="B334" s="131" t="s">
        <v>12</v>
      </c>
      <c r="C334" s="420" t="s">
        <v>2988</v>
      </c>
      <c r="D334" s="16" t="s">
        <v>54</v>
      </c>
      <c r="E334" s="41" t="s">
        <v>952</v>
      </c>
      <c r="F334" s="24" t="s">
        <v>67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</row>
    <row r="335" spans="1:76" s="11" customFormat="1" x14ac:dyDescent="0.25">
      <c r="A335" s="88">
        <v>42781</v>
      </c>
      <c r="B335" s="131" t="s">
        <v>12</v>
      </c>
      <c r="C335" s="423" t="s">
        <v>2989</v>
      </c>
      <c r="D335" s="16" t="s">
        <v>54</v>
      </c>
      <c r="E335" s="41" t="s">
        <v>2649</v>
      </c>
      <c r="F335" s="31" t="s">
        <v>67</v>
      </c>
      <c r="G335" s="42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</row>
    <row r="336" spans="1:76" s="11" customFormat="1" x14ac:dyDescent="0.25">
      <c r="A336" s="359">
        <v>43234</v>
      </c>
      <c r="B336" s="131" t="s">
        <v>12</v>
      </c>
      <c r="C336" s="368" t="s">
        <v>2990</v>
      </c>
      <c r="D336" s="16" t="s">
        <v>54</v>
      </c>
      <c r="E336" s="41" t="s">
        <v>2891</v>
      </c>
      <c r="F336" s="24" t="s">
        <v>67</v>
      </c>
      <c r="G336" s="452"/>
      <c r="H336" s="422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</row>
    <row r="337" spans="1:76" s="11" customFormat="1" x14ac:dyDescent="0.25">
      <c r="A337" s="88">
        <v>42629</v>
      </c>
      <c r="B337" s="131" t="s">
        <v>12</v>
      </c>
      <c r="C337" s="427" t="s">
        <v>2991</v>
      </c>
      <c r="D337" s="16" t="s">
        <v>54</v>
      </c>
      <c r="E337" s="16" t="s">
        <v>72</v>
      </c>
      <c r="F337" s="31" t="s">
        <v>67</v>
      </c>
      <c r="G337" s="42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:76" s="11" customFormat="1" x14ac:dyDescent="0.25">
      <c r="A338" s="359">
        <v>43234</v>
      </c>
      <c r="B338" s="131" t="s">
        <v>12</v>
      </c>
      <c r="C338" s="420" t="s">
        <v>2992</v>
      </c>
      <c r="D338" s="16" t="s">
        <v>54</v>
      </c>
      <c r="E338" s="41" t="s">
        <v>2647</v>
      </c>
      <c r="F338" s="24" t="s">
        <v>67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</row>
    <row r="339" spans="1:76" s="11" customFormat="1" x14ac:dyDescent="0.25">
      <c r="A339" s="88">
        <v>42534</v>
      </c>
      <c r="B339" s="131" t="s">
        <v>2847</v>
      </c>
      <c r="C339" s="427" t="s">
        <v>2993</v>
      </c>
      <c r="D339" s="16" t="s">
        <v>54</v>
      </c>
      <c r="E339" s="16" t="s">
        <v>72</v>
      </c>
      <c r="F339" s="24" t="s">
        <v>67</v>
      </c>
      <c r="G339" s="86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:76" s="11" customFormat="1" x14ac:dyDescent="0.25">
      <c r="A340" s="88">
        <v>42534</v>
      </c>
      <c r="B340" s="131" t="s">
        <v>2847</v>
      </c>
      <c r="C340" s="427" t="s">
        <v>2994</v>
      </c>
      <c r="D340" s="16" t="s">
        <v>54</v>
      </c>
      <c r="E340" s="16" t="s">
        <v>72</v>
      </c>
      <c r="F340" s="24" t="s">
        <v>67</v>
      </c>
      <c r="G340" s="432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:76" s="11" customFormat="1" x14ac:dyDescent="0.25">
      <c r="A341" s="88">
        <v>42781</v>
      </c>
      <c r="B341" s="131" t="s">
        <v>12</v>
      </c>
      <c r="C341" s="423" t="s">
        <v>2995</v>
      </c>
      <c r="D341" s="16" t="s">
        <v>54</v>
      </c>
      <c r="E341" s="41" t="s">
        <v>2440</v>
      </c>
      <c r="F341" s="31" t="s">
        <v>67</v>
      </c>
      <c r="G341" s="42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</row>
    <row r="342" spans="1:76" s="11" customFormat="1" x14ac:dyDescent="0.25">
      <c r="A342" s="359">
        <v>43234</v>
      </c>
      <c r="B342" s="131" t="s">
        <v>12</v>
      </c>
      <c r="C342" s="368" t="s">
        <v>2996</v>
      </c>
      <c r="D342" s="16" t="s">
        <v>54</v>
      </c>
      <c r="E342" s="41" t="s">
        <v>2440</v>
      </c>
      <c r="F342" s="24" t="s">
        <v>67</v>
      </c>
      <c r="G342" s="452"/>
      <c r="H342" s="422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</row>
    <row r="343" spans="1:76" s="11" customFormat="1" x14ac:dyDescent="0.25">
      <c r="A343" s="88">
        <v>42781</v>
      </c>
      <c r="B343" s="131" t="s">
        <v>12</v>
      </c>
      <c r="C343" s="423" t="s">
        <v>2997</v>
      </c>
      <c r="D343" s="16" t="s">
        <v>54</v>
      </c>
      <c r="E343" s="41" t="s">
        <v>2651</v>
      </c>
      <c r="F343" s="31" t="s">
        <v>67</v>
      </c>
      <c r="G343" s="42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</row>
    <row r="344" spans="1:76" s="11" customFormat="1" x14ac:dyDescent="0.25">
      <c r="A344" s="315">
        <v>43035</v>
      </c>
      <c r="B344" s="131" t="s">
        <v>12</v>
      </c>
      <c r="C344" s="423" t="s">
        <v>2998</v>
      </c>
      <c r="D344" s="16" t="s">
        <v>54</v>
      </c>
      <c r="E344" s="41" t="str">
        <f>VLOOKUP(C344,'[2]2018 Pricing'!$K$12:$O$3176,5,0)</f>
        <v>HD Metal-End Inner Air Filter</v>
      </c>
      <c r="F344" s="24" t="s">
        <v>67</v>
      </c>
      <c r="G344" s="452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</row>
    <row r="345" spans="1:76" s="11" customFormat="1" x14ac:dyDescent="0.25">
      <c r="A345" s="88">
        <v>42781</v>
      </c>
      <c r="B345" s="131" t="s">
        <v>12</v>
      </c>
      <c r="C345" s="423" t="s">
        <v>2999</v>
      </c>
      <c r="D345" s="16" t="s">
        <v>54</v>
      </c>
      <c r="E345" s="41" t="s">
        <v>2898</v>
      </c>
      <c r="F345" s="31" t="s">
        <v>67</v>
      </c>
      <c r="G345" s="42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</row>
    <row r="346" spans="1:76" s="11" customFormat="1" x14ac:dyDescent="0.25">
      <c r="A346" s="359">
        <v>43234</v>
      </c>
      <c r="B346" s="131" t="s">
        <v>12</v>
      </c>
      <c r="C346" s="368" t="s">
        <v>3000</v>
      </c>
      <c r="D346" s="16" t="s">
        <v>54</v>
      </c>
      <c r="E346" s="41" t="s">
        <v>2654</v>
      </c>
      <c r="F346" s="24" t="s">
        <v>67</v>
      </c>
      <c r="G346" s="86"/>
      <c r="H346" s="422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</row>
    <row r="347" spans="1:76" s="11" customFormat="1" x14ac:dyDescent="0.25">
      <c r="A347" s="88">
        <v>42781</v>
      </c>
      <c r="B347" s="131" t="s">
        <v>12</v>
      </c>
      <c r="C347" s="423" t="s">
        <v>3001</v>
      </c>
      <c r="D347" s="16" t="s">
        <v>54</v>
      </c>
      <c r="E347" s="41" t="s">
        <v>2649</v>
      </c>
      <c r="F347" s="31" t="s">
        <v>67</v>
      </c>
      <c r="G347" s="42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</row>
    <row r="348" spans="1:76" s="11" customFormat="1" x14ac:dyDescent="0.25">
      <c r="A348" s="88">
        <v>42781</v>
      </c>
      <c r="B348" s="131" t="s">
        <v>12</v>
      </c>
      <c r="C348" s="423" t="s">
        <v>3002</v>
      </c>
      <c r="D348" s="16" t="s">
        <v>54</v>
      </c>
      <c r="E348" s="41" t="s">
        <v>2649</v>
      </c>
      <c r="F348" s="31" t="s">
        <v>67</v>
      </c>
      <c r="G348" s="452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</row>
    <row r="349" spans="1:76" s="11" customFormat="1" x14ac:dyDescent="0.25">
      <c r="A349" s="88">
        <v>42781</v>
      </c>
      <c r="B349" s="131" t="s">
        <v>12</v>
      </c>
      <c r="C349" s="423" t="s">
        <v>3003</v>
      </c>
      <c r="D349" s="16" t="s">
        <v>54</v>
      </c>
      <c r="E349" s="41" t="s">
        <v>2649</v>
      </c>
      <c r="F349" s="31" t="s">
        <v>67</v>
      </c>
      <c r="G349" s="452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</row>
    <row r="350" spans="1:76" s="11" customFormat="1" x14ac:dyDescent="0.25">
      <c r="A350" s="88">
        <v>42781</v>
      </c>
      <c r="B350" s="131" t="s">
        <v>12</v>
      </c>
      <c r="C350" s="423" t="s">
        <v>3004</v>
      </c>
      <c r="D350" s="16" t="s">
        <v>54</v>
      </c>
      <c r="E350" s="41" t="s">
        <v>2654</v>
      </c>
      <c r="F350" s="31" t="s">
        <v>67</v>
      </c>
      <c r="G350" s="452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</row>
    <row r="351" spans="1:76" s="11" customFormat="1" x14ac:dyDescent="0.25">
      <c r="A351" s="88">
        <v>42781</v>
      </c>
      <c r="B351" s="131" t="s">
        <v>12</v>
      </c>
      <c r="C351" s="423" t="s">
        <v>3005</v>
      </c>
      <c r="D351" s="16" t="s">
        <v>54</v>
      </c>
      <c r="E351" s="41" t="s">
        <v>2960</v>
      </c>
      <c r="F351" s="31" t="s">
        <v>67</v>
      </c>
      <c r="G351" s="452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</row>
    <row r="352" spans="1:76" s="11" customFormat="1" x14ac:dyDescent="0.25">
      <c r="A352" s="88">
        <v>42781</v>
      </c>
      <c r="B352" s="131" t="s">
        <v>12</v>
      </c>
      <c r="C352" s="423" t="s">
        <v>3006</v>
      </c>
      <c r="D352" s="16" t="s">
        <v>54</v>
      </c>
      <c r="E352" s="41" t="s">
        <v>3007</v>
      </c>
      <c r="F352" s="31" t="s">
        <v>67</v>
      </c>
      <c r="G352" s="42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</row>
    <row r="353" spans="1:76" s="11" customFormat="1" x14ac:dyDescent="0.25">
      <c r="A353" s="88">
        <v>42781</v>
      </c>
      <c r="B353" s="131" t="s">
        <v>12</v>
      </c>
      <c r="C353" s="423" t="s">
        <v>3008</v>
      </c>
      <c r="D353" s="16" t="s">
        <v>54</v>
      </c>
      <c r="E353" s="41" t="s">
        <v>3007</v>
      </c>
      <c r="F353" s="31" t="s">
        <v>67</v>
      </c>
      <c r="G353" s="42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</row>
    <row r="354" spans="1:76" s="11" customFormat="1" x14ac:dyDescent="0.25">
      <c r="A354" s="315">
        <v>43035</v>
      </c>
      <c r="B354" s="131" t="s">
        <v>12</v>
      </c>
      <c r="C354" s="423" t="s">
        <v>3009</v>
      </c>
      <c r="D354" s="16" t="s">
        <v>54</v>
      </c>
      <c r="E354" s="41" t="str">
        <f>VLOOKUP(C354,'[2]2018 Pricing'!$K$12:$O$3176,5,0)</f>
        <v>HD Metal-End Air Filter-Inner</v>
      </c>
      <c r="F354" s="24" t="s">
        <v>67</v>
      </c>
      <c r="G354" s="42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</row>
    <row r="355" spans="1:76" s="11" customFormat="1" x14ac:dyDescent="0.25">
      <c r="A355" s="359">
        <v>43234</v>
      </c>
      <c r="B355" s="131" t="s">
        <v>12</v>
      </c>
      <c r="C355" s="420" t="s">
        <v>3010</v>
      </c>
      <c r="D355" s="16" t="s">
        <v>54</v>
      </c>
      <c r="E355" s="41" t="s">
        <v>2898</v>
      </c>
      <c r="F355" s="24" t="s">
        <v>67</v>
      </c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</row>
    <row r="356" spans="1:76" s="11" customFormat="1" x14ac:dyDescent="0.25">
      <c r="A356" s="88">
        <v>42781</v>
      </c>
      <c r="B356" s="131" t="s">
        <v>12</v>
      </c>
      <c r="C356" s="423" t="s">
        <v>3011</v>
      </c>
      <c r="D356" s="16" t="s">
        <v>54</v>
      </c>
      <c r="E356" s="41" t="s">
        <v>2649</v>
      </c>
      <c r="F356" s="31" t="s">
        <v>67</v>
      </c>
      <c r="G356" s="42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</row>
    <row r="357" spans="1:76" x14ac:dyDescent="0.25">
      <c r="A357" s="223"/>
      <c r="B357" s="131" t="s">
        <v>12</v>
      </c>
      <c r="C357" s="421" t="s">
        <v>3012</v>
      </c>
      <c r="D357" s="223" t="s">
        <v>54</v>
      </c>
      <c r="E357" s="29" t="s">
        <v>2648</v>
      </c>
      <c r="F357" s="31" t="s">
        <v>67</v>
      </c>
    </row>
    <row r="358" spans="1:76" x14ac:dyDescent="0.25">
      <c r="A358" s="88">
        <v>42781</v>
      </c>
      <c r="B358" s="131" t="s">
        <v>12</v>
      </c>
      <c r="C358" s="423" t="s">
        <v>3013</v>
      </c>
      <c r="D358" s="16" t="s">
        <v>54</v>
      </c>
      <c r="E358" s="41" t="s">
        <v>2651</v>
      </c>
      <c r="F358" s="31" t="s">
        <v>67</v>
      </c>
      <c r="G358" s="424"/>
      <c r="BX358" s="11"/>
    </row>
    <row r="359" spans="1:76" x14ac:dyDescent="0.25">
      <c r="A359" s="88">
        <v>42781</v>
      </c>
      <c r="B359" s="131" t="s">
        <v>12</v>
      </c>
      <c r="C359" s="423" t="s">
        <v>3014</v>
      </c>
      <c r="D359" s="16" t="s">
        <v>54</v>
      </c>
      <c r="E359" s="41" t="s">
        <v>952</v>
      </c>
      <c r="F359" s="31" t="s">
        <v>67</v>
      </c>
      <c r="G359" s="424"/>
      <c r="BX359" s="11"/>
    </row>
    <row r="360" spans="1:76" x14ac:dyDescent="0.25">
      <c r="A360" s="88">
        <v>42781</v>
      </c>
      <c r="B360" s="131" t="s">
        <v>12</v>
      </c>
      <c r="C360" s="423" t="s">
        <v>3015</v>
      </c>
      <c r="D360" s="16" t="s">
        <v>54</v>
      </c>
      <c r="E360" s="41" t="s">
        <v>2649</v>
      </c>
      <c r="F360" s="31" t="s">
        <v>67</v>
      </c>
      <c r="G360" s="424"/>
    </row>
    <row r="361" spans="1:76" x14ac:dyDescent="0.25">
      <c r="A361" s="88">
        <v>42781</v>
      </c>
      <c r="B361" s="131" t="s">
        <v>12</v>
      </c>
      <c r="C361" s="423" t="s">
        <v>3016</v>
      </c>
      <c r="D361" s="16" t="s">
        <v>54</v>
      </c>
      <c r="E361" s="41" t="s">
        <v>2651</v>
      </c>
      <c r="F361" s="31" t="s">
        <v>67</v>
      </c>
      <c r="G361" s="424"/>
      <c r="BX361" s="11"/>
    </row>
    <row r="362" spans="1:76" x14ac:dyDescent="0.25">
      <c r="A362" s="88">
        <v>42781</v>
      </c>
      <c r="B362" s="131" t="s">
        <v>12</v>
      </c>
      <c r="C362" s="423" t="s">
        <v>3017</v>
      </c>
      <c r="D362" s="16" t="s">
        <v>54</v>
      </c>
      <c r="E362" s="41" t="s">
        <v>2654</v>
      </c>
      <c r="F362" s="31" t="s">
        <v>67</v>
      </c>
      <c r="G362" s="452"/>
    </row>
    <row r="363" spans="1:76" x14ac:dyDescent="0.25">
      <c r="A363" s="88">
        <v>42781</v>
      </c>
      <c r="B363" s="131" t="s">
        <v>12</v>
      </c>
      <c r="C363" s="423" t="s">
        <v>3018</v>
      </c>
      <c r="D363" s="16" t="s">
        <v>54</v>
      </c>
      <c r="E363" s="41" t="s">
        <v>2898</v>
      </c>
      <c r="F363" s="31" t="s">
        <v>67</v>
      </c>
      <c r="G363" s="452"/>
      <c r="BX363" s="11"/>
    </row>
    <row r="364" spans="1:76" x14ac:dyDescent="0.25">
      <c r="A364" s="88">
        <v>42781</v>
      </c>
      <c r="B364" s="131" t="s">
        <v>12</v>
      </c>
      <c r="C364" s="423" t="s">
        <v>3019</v>
      </c>
      <c r="D364" s="16" t="s">
        <v>54</v>
      </c>
      <c r="E364" s="41" t="s">
        <v>2649</v>
      </c>
      <c r="F364" s="31" t="s">
        <v>67</v>
      </c>
      <c r="G364" s="424"/>
      <c r="BX364" s="11"/>
    </row>
    <row r="365" spans="1:76" x14ac:dyDescent="0.25">
      <c r="A365" s="88">
        <v>42781</v>
      </c>
      <c r="B365" s="131" t="s">
        <v>12</v>
      </c>
      <c r="C365" s="423" t="s">
        <v>3020</v>
      </c>
      <c r="D365" s="16" t="s">
        <v>54</v>
      </c>
      <c r="E365" s="41" t="s">
        <v>2651</v>
      </c>
      <c r="F365" s="31" t="s">
        <v>67</v>
      </c>
      <c r="G365" s="424"/>
      <c r="BX365" s="11"/>
    </row>
    <row r="366" spans="1:76" x14ac:dyDescent="0.25">
      <c r="A366" s="88">
        <v>42395</v>
      </c>
      <c r="B366" s="131" t="s">
        <v>12</v>
      </c>
      <c r="C366" s="410" t="s">
        <v>3021</v>
      </c>
      <c r="D366" s="16" t="s">
        <v>54</v>
      </c>
      <c r="E366" s="16" t="s">
        <v>439</v>
      </c>
      <c r="F366" s="24" t="s">
        <v>67</v>
      </c>
      <c r="G366" s="87"/>
      <c r="BU366" s="11"/>
      <c r="BV366" s="11"/>
      <c r="BW366" s="11"/>
      <c r="BX366" s="11"/>
    </row>
    <row r="367" spans="1:76" x14ac:dyDescent="0.25">
      <c r="A367" s="88">
        <v>42781</v>
      </c>
      <c r="B367" s="131" t="s">
        <v>12</v>
      </c>
      <c r="C367" s="423" t="s">
        <v>3022</v>
      </c>
      <c r="D367" s="16" t="s">
        <v>54</v>
      </c>
      <c r="E367" s="41" t="s">
        <v>2898</v>
      </c>
      <c r="F367" s="31" t="s">
        <v>67</v>
      </c>
      <c r="G367" s="452"/>
      <c r="BX367" s="11"/>
    </row>
    <row r="368" spans="1:76" x14ac:dyDescent="0.25">
      <c r="A368" s="88">
        <v>42781</v>
      </c>
      <c r="B368" s="131" t="s">
        <v>12</v>
      </c>
      <c r="C368" s="423" t="s">
        <v>3023</v>
      </c>
      <c r="D368" s="16" t="s">
        <v>54</v>
      </c>
      <c r="E368" s="41" t="s">
        <v>2651</v>
      </c>
      <c r="F368" s="31" t="s">
        <v>67</v>
      </c>
      <c r="G368" s="452"/>
    </row>
    <row r="369" spans="1:76" x14ac:dyDescent="0.25">
      <c r="A369" s="88">
        <v>42781</v>
      </c>
      <c r="B369" s="131" t="s">
        <v>12</v>
      </c>
      <c r="C369" s="423" t="s">
        <v>3024</v>
      </c>
      <c r="D369" s="16" t="s">
        <v>54</v>
      </c>
      <c r="E369" s="41" t="s">
        <v>2649</v>
      </c>
      <c r="F369" s="31" t="s">
        <v>67</v>
      </c>
      <c r="G369" s="424"/>
      <c r="BX369" s="11"/>
    </row>
    <row r="370" spans="1:76" x14ac:dyDescent="0.25">
      <c r="A370" s="223"/>
      <c r="B370" s="131" t="s">
        <v>12</v>
      </c>
      <c r="C370" s="421" t="s">
        <v>3025</v>
      </c>
      <c r="D370" s="223" t="s">
        <v>54</v>
      </c>
      <c r="E370" s="29" t="s">
        <v>2876</v>
      </c>
      <c r="F370" s="31" t="s">
        <v>67</v>
      </c>
    </row>
    <row r="371" spans="1:76" x14ac:dyDescent="0.25">
      <c r="A371" s="88">
        <v>42781</v>
      </c>
      <c r="B371" s="131" t="s">
        <v>12</v>
      </c>
      <c r="C371" s="423" t="s">
        <v>3026</v>
      </c>
      <c r="D371" s="16" t="s">
        <v>54</v>
      </c>
      <c r="E371" s="41" t="s">
        <v>2655</v>
      </c>
      <c r="F371" s="31" t="s">
        <v>67</v>
      </c>
      <c r="G371" s="424"/>
      <c r="BX371" s="11"/>
    </row>
    <row r="372" spans="1:76" x14ac:dyDescent="0.25">
      <c r="A372" s="88">
        <v>42781</v>
      </c>
      <c r="B372" s="131" t="s">
        <v>12</v>
      </c>
      <c r="C372" s="423" t="s">
        <v>3027</v>
      </c>
      <c r="D372" s="16" t="s">
        <v>54</v>
      </c>
      <c r="E372" s="41" t="s">
        <v>2898</v>
      </c>
      <c r="F372" s="31" t="s">
        <v>67</v>
      </c>
      <c r="G372" s="452"/>
      <c r="BX372" s="11"/>
    </row>
    <row r="373" spans="1:76" x14ac:dyDescent="0.25">
      <c r="A373" s="88">
        <v>42781</v>
      </c>
      <c r="B373" s="131" t="s">
        <v>12</v>
      </c>
      <c r="C373" s="423" t="s">
        <v>3028</v>
      </c>
      <c r="D373" s="16" t="s">
        <v>54</v>
      </c>
      <c r="E373" s="41" t="s">
        <v>2649</v>
      </c>
      <c r="F373" s="31" t="s">
        <v>67</v>
      </c>
      <c r="G373" s="452"/>
      <c r="BX373" s="11"/>
    </row>
    <row r="374" spans="1:76" x14ac:dyDescent="0.25">
      <c r="A374" s="88">
        <v>42781</v>
      </c>
      <c r="B374" s="131" t="s">
        <v>12</v>
      </c>
      <c r="C374" s="423" t="s">
        <v>3029</v>
      </c>
      <c r="D374" s="16" t="s">
        <v>54</v>
      </c>
      <c r="E374" s="41" t="s">
        <v>2960</v>
      </c>
      <c r="F374" s="31" t="s">
        <v>67</v>
      </c>
      <c r="G374" s="424"/>
      <c r="BX374" s="11"/>
    </row>
    <row r="375" spans="1:76" s="11" customFormat="1" x14ac:dyDescent="0.25">
      <c r="A375" s="88">
        <v>42781</v>
      </c>
      <c r="B375" s="131" t="s">
        <v>12</v>
      </c>
      <c r="C375" s="423" t="s">
        <v>3030</v>
      </c>
      <c r="D375" s="16" t="s">
        <v>54</v>
      </c>
      <c r="E375" s="41" t="s">
        <v>2655</v>
      </c>
      <c r="F375" s="31" t="s">
        <v>67</v>
      </c>
      <c r="G375" s="452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</row>
    <row r="376" spans="1:76" s="11" customFormat="1" x14ac:dyDescent="0.25">
      <c r="A376" s="88">
        <v>42781</v>
      </c>
      <c r="B376" s="131" t="s">
        <v>12</v>
      </c>
      <c r="C376" s="423" t="s">
        <v>3031</v>
      </c>
      <c r="D376" s="16" t="s">
        <v>54</v>
      </c>
      <c r="E376" s="41" t="s">
        <v>2651</v>
      </c>
      <c r="F376" s="31" t="s">
        <v>67</v>
      </c>
      <c r="G376" s="42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</row>
    <row r="377" spans="1:76" s="11" customFormat="1" x14ac:dyDescent="0.25">
      <c r="A377" s="88">
        <v>42781</v>
      </c>
      <c r="B377" s="131" t="s">
        <v>12</v>
      </c>
      <c r="C377" s="423" t="s">
        <v>3032</v>
      </c>
      <c r="D377" s="16" t="s">
        <v>54</v>
      </c>
      <c r="E377" s="41" t="s">
        <v>952</v>
      </c>
      <c r="F377" s="31" t="s">
        <v>67</v>
      </c>
      <c r="G377" s="42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</row>
    <row r="378" spans="1:76" s="11" customFormat="1" x14ac:dyDescent="0.25">
      <c r="A378" s="315">
        <v>43035</v>
      </c>
      <c r="B378" s="131" t="s">
        <v>12</v>
      </c>
      <c r="C378" s="423" t="s">
        <v>3033</v>
      </c>
      <c r="D378" s="16" t="s">
        <v>54</v>
      </c>
      <c r="E378" s="41" t="str">
        <f>VLOOKUP(C378,'[2]2018 Pricing'!$K$12:$O$3176,5,0)</f>
        <v>Cone Shaped Air Filter With Attached Lid</v>
      </c>
      <c r="F378" s="24" t="s">
        <v>67</v>
      </c>
      <c r="G378" s="42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</row>
    <row r="379" spans="1:76" s="11" customFormat="1" x14ac:dyDescent="0.25">
      <c r="A379" s="88">
        <v>42781</v>
      </c>
      <c r="B379" s="131" t="s">
        <v>12</v>
      </c>
      <c r="C379" s="423" t="s">
        <v>3034</v>
      </c>
      <c r="D379" s="16" t="s">
        <v>54</v>
      </c>
      <c r="E379" s="41" t="s">
        <v>2655</v>
      </c>
      <c r="F379" s="31" t="s">
        <v>67</v>
      </c>
      <c r="G379" s="452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</row>
    <row r="380" spans="1:76" s="11" customFormat="1" x14ac:dyDescent="0.25">
      <c r="A380" s="359">
        <v>43234</v>
      </c>
      <c r="B380" s="131" t="s">
        <v>12</v>
      </c>
      <c r="C380" s="368" t="s">
        <v>3035</v>
      </c>
      <c r="D380" s="16" t="s">
        <v>54</v>
      </c>
      <c r="E380" s="41" t="s">
        <v>2655</v>
      </c>
      <c r="F380" s="24" t="s">
        <v>67</v>
      </c>
      <c r="G380" s="86"/>
      <c r="H380" s="422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</row>
    <row r="381" spans="1:76" s="11" customFormat="1" x14ac:dyDescent="0.25">
      <c r="A381" s="88">
        <v>42781</v>
      </c>
      <c r="B381" s="131" t="s">
        <v>12</v>
      </c>
      <c r="C381" s="423" t="s">
        <v>3036</v>
      </c>
      <c r="D381" s="16" t="s">
        <v>54</v>
      </c>
      <c r="E381" s="41" t="s">
        <v>2655</v>
      </c>
      <c r="F381" s="31" t="s">
        <v>67</v>
      </c>
      <c r="G381" s="42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</row>
    <row r="382" spans="1:76" s="11" customFormat="1" x14ac:dyDescent="0.25">
      <c r="A382" s="88">
        <v>42781</v>
      </c>
      <c r="B382" s="131" t="s">
        <v>12</v>
      </c>
      <c r="C382" s="423" t="s">
        <v>3037</v>
      </c>
      <c r="D382" s="16" t="s">
        <v>54</v>
      </c>
      <c r="E382" s="41" t="s">
        <v>2651</v>
      </c>
      <c r="F382" s="31" t="s">
        <v>67</v>
      </c>
      <c r="G382" s="42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</row>
    <row r="383" spans="1:76" s="11" customFormat="1" x14ac:dyDescent="0.25">
      <c r="A383" s="88">
        <v>42781</v>
      </c>
      <c r="B383" s="131" t="s">
        <v>12</v>
      </c>
      <c r="C383" s="423" t="s">
        <v>3038</v>
      </c>
      <c r="D383" s="16" t="s">
        <v>54</v>
      </c>
      <c r="E383" s="41" t="s">
        <v>2649</v>
      </c>
      <c r="F383" s="31" t="s">
        <v>67</v>
      </c>
      <c r="G383" s="42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</row>
    <row r="384" spans="1:76" s="11" customFormat="1" x14ac:dyDescent="0.25">
      <c r="A384" s="88">
        <v>42781</v>
      </c>
      <c r="B384" s="131" t="s">
        <v>12</v>
      </c>
      <c r="C384" s="423" t="s">
        <v>3039</v>
      </c>
      <c r="D384" s="16" t="s">
        <v>54</v>
      </c>
      <c r="E384" s="41" t="s">
        <v>2649</v>
      </c>
      <c r="F384" s="31" t="s">
        <v>67</v>
      </c>
      <c r="G384" s="42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</row>
    <row r="385" spans="1:76" s="11" customFormat="1" x14ac:dyDescent="0.25">
      <c r="A385" s="88">
        <v>42781</v>
      </c>
      <c r="B385" s="131" t="s">
        <v>12</v>
      </c>
      <c r="C385" s="423" t="s">
        <v>3040</v>
      </c>
      <c r="D385" s="16" t="s">
        <v>54</v>
      </c>
      <c r="E385" s="41" t="s">
        <v>2649</v>
      </c>
      <c r="F385" s="31" t="s">
        <v>67</v>
      </c>
      <c r="G385" s="452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</row>
    <row r="386" spans="1:76" s="11" customFormat="1" x14ac:dyDescent="0.25">
      <c r="A386" s="223"/>
      <c r="B386" s="131" t="s">
        <v>12</v>
      </c>
      <c r="C386" s="421" t="s">
        <v>3041</v>
      </c>
      <c r="D386" s="223" t="s">
        <v>54</v>
      </c>
      <c r="E386" s="29" t="s">
        <v>2876</v>
      </c>
      <c r="F386" s="31" t="s">
        <v>67</v>
      </c>
      <c r="G386" s="449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</row>
    <row r="387" spans="1:76" s="11" customFormat="1" x14ac:dyDescent="0.25">
      <c r="A387" s="223"/>
      <c r="B387" s="131" t="s">
        <v>12</v>
      </c>
      <c r="C387" s="421" t="s">
        <v>3042</v>
      </c>
      <c r="D387" s="223" t="s">
        <v>54</v>
      </c>
      <c r="E387" s="29" t="s">
        <v>2876</v>
      </c>
      <c r="F387" s="31" t="s">
        <v>67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</row>
    <row r="388" spans="1:76" s="11" customFormat="1" x14ac:dyDescent="0.25">
      <c r="A388" s="16"/>
      <c r="B388" s="131" t="s">
        <v>12</v>
      </c>
      <c r="C388" s="421" t="s">
        <v>2660</v>
      </c>
      <c r="D388" s="223" t="s">
        <v>54</v>
      </c>
      <c r="E388" s="426" t="s">
        <v>2649</v>
      </c>
      <c r="F388" s="31" t="s">
        <v>67</v>
      </c>
      <c r="G388" s="449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</row>
    <row r="389" spans="1:76" s="11" customFormat="1" x14ac:dyDescent="0.25">
      <c r="A389" s="88">
        <v>42781</v>
      </c>
      <c r="B389" s="131" t="s">
        <v>12</v>
      </c>
      <c r="C389" s="423" t="s">
        <v>3043</v>
      </c>
      <c r="D389" s="16" t="s">
        <v>54</v>
      </c>
      <c r="E389" s="41" t="s">
        <v>2649</v>
      </c>
      <c r="F389" s="31" t="s">
        <v>67</v>
      </c>
      <c r="G389" s="452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</row>
    <row r="390" spans="1:76" s="11" customFormat="1" x14ac:dyDescent="0.25">
      <c r="A390" s="88">
        <v>42781</v>
      </c>
      <c r="B390" s="131" t="s">
        <v>12</v>
      </c>
      <c r="C390" s="423" t="s">
        <v>3044</v>
      </c>
      <c r="D390" s="16" t="s">
        <v>54</v>
      </c>
      <c r="E390" s="41" t="s">
        <v>2960</v>
      </c>
      <c r="F390" s="31" t="s">
        <v>67</v>
      </c>
      <c r="G390" s="437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</row>
    <row r="391" spans="1:76" s="11" customFormat="1" x14ac:dyDescent="0.25">
      <c r="A391" s="359">
        <v>43234</v>
      </c>
      <c r="B391" s="131" t="s">
        <v>12</v>
      </c>
      <c r="C391" s="368" t="s">
        <v>3045</v>
      </c>
      <c r="D391" s="16" t="s">
        <v>54</v>
      </c>
      <c r="E391" s="41" t="s">
        <v>2654</v>
      </c>
      <c r="F391" s="24" t="s">
        <v>67</v>
      </c>
      <c r="G391" s="86"/>
      <c r="H391" s="422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</row>
    <row r="392" spans="1:76" s="11" customFormat="1" x14ac:dyDescent="0.25">
      <c r="A392" s="16"/>
      <c r="B392" s="428" t="s">
        <v>12</v>
      </c>
      <c r="C392" s="425" t="s">
        <v>3046</v>
      </c>
      <c r="D392" s="223" t="s">
        <v>54</v>
      </c>
      <c r="E392" s="426" t="s">
        <v>2652</v>
      </c>
      <c r="F392" s="29" t="s">
        <v>3047</v>
      </c>
      <c r="G392" s="452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</row>
    <row r="393" spans="1:76" s="11" customFormat="1" x14ac:dyDescent="0.25">
      <c r="A393" s="223"/>
      <c r="B393" s="131" t="s">
        <v>12</v>
      </c>
      <c r="C393" s="421" t="s">
        <v>3048</v>
      </c>
      <c r="D393" s="223" t="s">
        <v>54</v>
      </c>
      <c r="E393" s="29" t="s">
        <v>3049</v>
      </c>
      <c r="F393" s="31" t="s">
        <v>67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</row>
    <row r="394" spans="1:76" s="11" customFormat="1" x14ac:dyDescent="0.25">
      <c r="A394" s="223"/>
      <c r="B394" s="131" t="s">
        <v>12</v>
      </c>
      <c r="C394" s="421" t="s">
        <v>3050</v>
      </c>
      <c r="D394" s="223" t="s">
        <v>54</v>
      </c>
      <c r="E394" s="29" t="s">
        <v>3051</v>
      </c>
      <c r="F394" s="31" t="s">
        <v>67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</row>
    <row r="395" spans="1:76" s="11" customFormat="1" x14ac:dyDescent="0.25">
      <c r="A395" s="223"/>
      <c r="B395" s="131" t="s">
        <v>12</v>
      </c>
      <c r="C395" s="421" t="s">
        <v>3052</v>
      </c>
      <c r="D395" s="223" t="s">
        <v>54</v>
      </c>
      <c r="E395" s="29" t="s">
        <v>2652</v>
      </c>
      <c r="F395" s="31" t="s">
        <v>67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</row>
    <row r="396" spans="1:76" s="11" customFormat="1" x14ac:dyDescent="0.25">
      <c r="A396" s="359">
        <v>43234</v>
      </c>
      <c r="B396" s="131" t="s">
        <v>12</v>
      </c>
      <c r="C396" s="368" t="s">
        <v>3053</v>
      </c>
      <c r="D396" s="16" t="s">
        <v>54</v>
      </c>
      <c r="E396" s="41" t="s">
        <v>2653</v>
      </c>
      <c r="F396" s="24" t="s">
        <v>67</v>
      </c>
      <c r="G396" s="452"/>
      <c r="H396" s="422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</row>
    <row r="397" spans="1:76" s="11" customFormat="1" x14ac:dyDescent="0.25">
      <c r="A397" s="16"/>
      <c r="B397" s="428" t="s">
        <v>12</v>
      </c>
      <c r="C397" s="425" t="s">
        <v>3054</v>
      </c>
      <c r="D397" s="223" t="s">
        <v>54</v>
      </c>
      <c r="E397" s="426" t="s">
        <v>2808</v>
      </c>
      <c r="F397" s="31" t="s">
        <v>67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</row>
    <row r="398" spans="1:76" s="11" customFormat="1" x14ac:dyDescent="0.25">
      <c r="A398" s="16"/>
      <c r="B398" s="428" t="s">
        <v>12</v>
      </c>
      <c r="C398" s="425" t="s">
        <v>3055</v>
      </c>
      <c r="D398" s="223" t="s">
        <v>54</v>
      </c>
      <c r="E398" s="426" t="s">
        <v>2654</v>
      </c>
      <c r="F398" s="31" t="s">
        <v>67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</row>
    <row r="399" spans="1:76" s="11" customFormat="1" x14ac:dyDescent="0.25">
      <c r="A399" s="88">
        <v>42781</v>
      </c>
      <c r="B399" s="131" t="s">
        <v>12</v>
      </c>
      <c r="C399" s="423" t="s">
        <v>3056</v>
      </c>
      <c r="D399" s="16" t="s">
        <v>54</v>
      </c>
      <c r="E399" s="41" t="s">
        <v>3057</v>
      </c>
      <c r="F399" s="31" t="s">
        <v>67</v>
      </c>
      <c r="G399" s="42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</row>
    <row r="400" spans="1:76" s="11" customFormat="1" x14ac:dyDescent="0.25">
      <c r="A400" s="88">
        <v>42781</v>
      </c>
      <c r="B400" s="131" t="s">
        <v>12</v>
      </c>
      <c r="C400" s="423" t="s">
        <v>3058</v>
      </c>
      <c r="D400" s="16" t="s">
        <v>54</v>
      </c>
      <c r="E400" s="41" t="s">
        <v>2898</v>
      </c>
      <c r="F400" s="31" t="s">
        <v>67</v>
      </c>
      <c r="G400" s="42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</row>
    <row r="401" spans="1:76" s="11" customFormat="1" x14ac:dyDescent="0.25">
      <c r="A401" s="88">
        <v>42781</v>
      </c>
      <c r="B401" s="131" t="s">
        <v>12</v>
      </c>
      <c r="C401" s="423" t="s">
        <v>3059</v>
      </c>
      <c r="D401" s="16" t="s">
        <v>54</v>
      </c>
      <c r="E401" s="41" t="s">
        <v>2960</v>
      </c>
      <c r="F401" s="31" t="s">
        <v>67</v>
      </c>
      <c r="G401" s="42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</row>
    <row r="402" spans="1:76" s="11" customFormat="1" x14ac:dyDescent="0.25">
      <c r="A402" s="88">
        <v>42781</v>
      </c>
      <c r="B402" s="131" t="s">
        <v>12</v>
      </c>
      <c r="C402" s="423" t="s">
        <v>3060</v>
      </c>
      <c r="D402" s="16" t="s">
        <v>54</v>
      </c>
      <c r="E402" s="41" t="s">
        <v>2960</v>
      </c>
      <c r="F402" s="31" t="s">
        <v>67</v>
      </c>
      <c r="G402" s="42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</row>
    <row r="403" spans="1:76" s="11" customFormat="1" x14ac:dyDescent="0.25">
      <c r="A403" s="88">
        <v>42781</v>
      </c>
      <c r="B403" s="131" t="s">
        <v>12</v>
      </c>
      <c r="C403" s="423" t="s">
        <v>3061</v>
      </c>
      <c r="D403" s="16" t="s">
        <v>54</v>
      </c>
      <c r="E403" s="41" t="s">
        <v>2649</v>
      </c>
      <c r="F403" s="31" t="s">
        <v>67</v>
      </c>
      <c r="G403" s="42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</row>
    <row r="404" spans="1:76" s="11" customFormat="1" x14ac:dyDescent="0.25">
      <c r="A404" s="88">
        <v>42781</v>
      </c>
      <c r="B404" s="131" t="s">
        <v>12</v>
      </c>
      <c r="C404" s="423" t="s">
        <v>3062</v>
      </c>
      <c r="D404" s="16" t="s">
        <v>54</v>
      </c>
      <c r="E404" s="41" t="s">
        <v>2960</v>
      </c>
      <c r="F404" s="31" t="s">
        <v>67</v>
      </c>
      <c r="G404" s="437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</row>
    <row r="405" spans="1:76" s="11" customFormat="1" x14ac:dyDescent="0.25">
      <c r="A405" s="315">
        <v>43035</v>
      </c>
      <c r="B405" s="131" t="s">
        <v>12</v>
      </c>
      <c r="C405" s="423" t="s">
        <v>3063</v>
      </c>
      <c r="D405" s="16" t="s">
        <v>54</v>
      </c>
      <c r="E405" s="41" t="str">
        <f>VLOOKUP(C405,'[2]2018 Pricing'!$K$12:$O$3176,5,0)</f>
        <v>HD Round Finned Air Filter with Attached Lid</v>
      </c>
      <c r="F405" s="24" t="s">
        <v>67</v>
      </c>
      <c r="G405" s="42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</row>
    <row r="406" spans="1:76" s="11" customFormat="1" x14ac:dyDescent="0.25">
      <c r="A406" s="315">
        <v>43084</v>
      </c>
      <c r="B406" s="131" t="s">
        <v>12</v>
      </c>
      <c r="C406" s="423" t="s">
        <v>3064</v>
      </c>
      <c r="D406" s="16" t="s">
        <v>54</v>
      </c>
      <c r="E406" s="41" t="s">
        <v>2649</v>
      </c>
      <c r="F406" s="24" t="s">
        <v>67</v>
      </c>
      <c r="G406" s="42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</row>
    <row r="407" spans="1:76" s="11" customFormat="1" x14ac:dyDescent="0.25">
      <c r="A407" s="359">
        <v>43234</v>
      </c>
      <c r="B407" s="131" t="s">
        <v>12</v>
      </c>
      <c r="C407" s="420" t="s">
        <v>3065</v>
      </c>
      <c r="D407" s="16" t="s">
        <v>54</v>
      </c>
      <c r="E407" s="41" t="s">
        <v>2898</v>
      </c>
      <c r="F407" s="24" t="s">
        <v>67</v>
      </c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</row>
    <row r="408" spans="1:76" s="11" customFormat="1" x14ac:dyDescent="0.25">
      <c r="A408" s="88">
        <v>42781</v>
      </c>
      <c r="B408" s="131" t="s">
        <v>12</v>
      </c>
      <c r="C408" s="423" t="s">
        <v>3066</v>
      </c>
      <c r="D408" s="16" t="s">
        <v>54</v>
      </c>
      <c r="E408" s="41" t="s">
        <v>2940</v>
      </c>
      <c r="F408" s="31" t="s">
        <v>67</v>
      </c>
      <c r="G408" s="42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</row>
    <row r="409" spans="1:76" s="11" customFormat="1" x14ac:dyDescent="0.25">
      <c r="A409" s="88">
        <v>42781</v>
      </c>
      <c r="B409" s="131" t="s">
        <v>12</v>
      </c>
      <c r="C409" s="423" t="s">
        <v>3067</v>
      </c>
      <c r="D409" s="16" t="s">
        <v>54</v>
      </c>
      <c r="E409" s="41" t="s">
        <v>2940</v>
      </c>
      <c r="F409" s="31" t="s">
        <v>67</v>
      </c>
      <c r="G409" s="42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</row>
    <row r="410" spans="1:76" s="11" customFormat="1" x14ac:dyDescent="0.25">
      <c r="A410" s="88">
        <v>42781</v>
      </c>
      <c r="B410" s="131" t="s">
        <v>12</v>
      </c>
      <c r="C410" s="423" t="s">
        <v>3068</v>
      </c>
      <c r="D410" s="16" t="s">
        <v>54</v>
      </c>
      <c r="E410" s="41" t="s">
        <v>2649</v>
      </c>
      <c r="F410" s="31" t="s">
        <v>67</v>
      </c>
      <c r="G410" s="42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</row>
    <row r="411" spans="1:76" s="11" customFormat="1" x14ac:dyDescent="0.25">
      <c r="A411" s="88">
        <v>42781</v>
      </c>
      <c r="B411" s="131" t="s">
        <v>12</v>
      </c>
      <c r="C411" s="423" t="s">
        <v>3069</v>
      </c>
      <c r="D411" s="16" t="s">
        <v>54</v>
      </c>
      <c r="E411" s="41" t="s">
        <v>2940</v>
      </c>
      <c r="F411" s="31" t="s">
        <v>67</v>
      </c>
      <c r="G411" s="42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</row>
    <row r="412" spans="1:76" x14ac:dyDescent="0.25">
      <c r="A412" s="223"/>
      <c r="B412" s="131" t="s">
        <v>12</v>
      </c>
      <c r="C412" s="421" t="s">
        <v>3069</v>
      </c>
      <c r="D412" s="223" t="s">
        <v>54</v>
      </c>
      <c r="E412" s="29" t="s">
        <v>3070</v>
      </c>
      <c r="F412" s="31" t="s">
        <v>67</v>
      </c>
    </row>
    <row r="413" spans="1:76" x14ac:dyDescent="0.25">
      <c r="A413" s="223"/>
      <c r="B413" s="131" t="s">
        <v>12</v>
      </c>
      <c r="C413" s="421" t="s">
        <v>3071</v>
      </c>
      <c r="D413" s="223" t="s">
        <v>54</v>
      </c>
      <c r="E413" s="29" t="s">
        <v>3072</v>
      </c>
      <c r="F413" s="31" t="s">
        <v>67</v>
      </c>
    </row>
    <row r="414" spans="1:76" x14ac:dyDescent="0.25">
      <c r="A414" s="88">
        <v>42781</v>
      </c>
      <c r="B414" s="131" t="s">
        <v>12</v>
      </c>
      <c r="C414" s="423" t="s">
        <v>3073</v>
      </c>
      <c r="D414" s="16" t="s">
        <v>54</v>
      </c>
      <c r="E414" s="41" t="s">
        <v>2440</v>
      </c>
      <c r="F414" s="31" t="s">
        <v>67</v>
      </c>
      <c r="G414" s="452"/>
      <c r="BX414" s="11"/>
    </row>
    <row r="415" spans="1:76" x14ac:dyDescent="0.25">
      <c r="A415" s="88">
        <v>42781</v>
      </c>
      <c r="B415" s="131" t="s">
        <v>12</v>
      </c>
      <c r="C415" s="423" t="s">
        <v>3074</v>
      </c>
      <c r="D415" s="16" t="s">
        <v>54</v>
      </c>
      <c r="E415" s="41" t="s">
        <v>3075</v>
      </c>
      <c r="F415" s="31" t="s">
        <v>67</v>
      </c>
      <c r="G415" s="424"/>
      <c r="BX415" s="11"/>
    </row>
    <row r="416" spans="1:76" x14ac:dyDescent="0.25">
      <c r="A416" s="88">
        <v>42781</v>
      </c>
      <c r="B416" s="131" t="s">
        <v>12</v>
      </c>
      <c r="C416" s="423" t="s">
        <v>3076</v>
      </c>
      <c r="D416" s="16" t="s">
        <v>54</v>
      </c>
      <c r="E416" s="41" t="s">
        <v>3075</v>
      </c>
      <c r="F416" s="31" t="s">
        <v>67</v>
      </c>
      <c r="G416" s="424"/>
      <c r="BX416" s="11"/>
    </row>
    <row r="417" spans="1:76" x14ac:dyDescent="0.25">
      <c r="A417" s="359">
        <v>43234</v>
      </c>
      <c r="B417" s="131" t="s">
        <v>12</v>
      </c>
      <c r="C417" s="368" t="s">
        <v>3077</v>
      </c>
      <c r="D417" s="16" t="s">
        <v>54</v>
      </c>
      <c r="E417" s="41" t="s">
        <v>2649</v>
      </c>
      <c r="F417" s="24" t="s">
        <v>67</v>
      </c>
      <c r="G417" s="86"/>
      <c r="H417" s="422"/>
      <c r="BX417" s="11"/>
    </row>
    <row r="418" spans="1:76" x14ac:dyDescent="0.25">
      <c r="A418" s="88">
        <v>42781</v>
      </c>
      <c r="B418" s="131" t="s">
        <v>12</v>
      </c>
      <c r="C418" s="423" t="s">
        <v>3078</v>
      </c>
      <c r="D418" s="16" t="s">
        <v>54</v>
      </c>
      <c r="E418" s="41" t="s">
        <v>2649</v>
      </c>
      <c r="F418" s="31" t="s">
        <v>67</v>
      </c>
      <c r="G418" s="452"/>
    </row>
    <row r="419" spans="1:76" x14ac:dyDescent="0.25">
      <c r="A419" s="223"/>
      <c r="B419" s="131" t="s">
        <v>12</v>
      </c>
      <c r="C419" s="421" t="s">
        <v>3079</v>
      </c>
      <c r="D419" s="223" t="s">
        <v>54</v>
      </c>
      <c r="E419" s="29" t="s">
        <v>2898</v>
      </c>
      <c r="F419" s="31" t="s">
        <v>67</v>
      </c>
    </row>
    <row r="420" spans="1:76" x14ac:dyDescent="0.25">
      <c r="A420" s="88">
        <v>42781</v>
      </c>
      <c r="B420" s="131" t="s">
        <v>12</v>
      </c>
      <c r="C420" s="423" t="s">
        <v>3080</v>
      </c>
      <c r="D420" s="16" t="s">
        <v>54</v>
      </c>
      <c r="E420" s="41" t="s">
        <v>2655</v>
      </c>
      <c r="F420" s="31" t="s">
        <v>67</v>
      </c>
      <c r="G420" s="424"/>
      <c r="BX420" s="11"/>
    </row>
    <row r="421" spans="1:76" x14ac:dyDescent="0.25">
      <c r="A421" s="88">
        <v>42781</v>
      </c>
      <c r="B421" s="131" t="s">
        <v>12</v>
      </c>
      <c r="C421" s="423" t="s">
        <v>3081</v>
      </c>
      <c r="D421" s="16" t="s">
        <v>54</v>
      </c>
      <c r="E421" s="41" t="s">
        <v>2960</v>
      </c>
      <c r="F421" s="31" t="s">
        <v>67</v>
      </c>
      <c r="G421" s="424"/>
      <c r="BX421" s="11"/>
    </row>
    <row r="422" spans="1:76" x14ac:dyDescent="0.25">
      <c r="A422" s="88">
        <v>42781</v>
      </c>
      <c r="B422" s="131" t="s">
        <v>12</v>
      </c>
      <c r="C422" s="423" t="s">
        <v>3082</v>
      </c>
      <c r="D422" s="16" t="s">
        <v>54</v>
      </c>
      <c r="E422" s="41" t="s">
        <v>72</v>
      </c>
      <c r="F422" s="31" t="s">
        <v>67</v>
      </c>
      <c r="G422" s="86"/>
      <c r="BX422" s="11"/>
    </row>
    <row r="423" spans="1:76" x14ac:dyDescent="0.25">
      <c r="A423" s="88">
        <v>42781</v>
      </c>
      <c r="B423" s="131" t="s">
        <v>12</v>
      </c>
      <c r="C423" s="423" t="s">
        <v>3083</v>
      </c>
      <c r="D423" s="16" t="s">
        <v>54</v>
      </c>
      <c r="E423" s="41" t="s">
        <v>2654</v>
      </c>
      <c r="F423" s="31" t="s">
        <v>67</v>
      </c>
      <c r="G423" s="452"/>
    </row>
    <row r="424" spans="1:76" x14ac:dyDescent="0.25">
      <c r="A424" s="88">
        <v>42629</v>
      </c>
      <c r="B424" s="131" t="s">
        <v>12</v>
      </c>
      <c r="C424" s="410" t="s">
        <v>3084</v>
      </c>
      <c r="D424" s="16" t="s">
        <v>54</v>
      </c>
      <c r="E424" s="16" t="s">
        <v>72</v>
      </c>
      <c r="F424" s="31" t="s">
        <v>67</v>
      </c>
      <c r="G424" s="424"/>
      <c r="BV424" s="11"/>
      <c r="BW424" s="11"/>
      <c r="BX424" s="11"/>
    </row>
    <row r="425" spans="1:76" x14ac:dyDescent="0.25">
      <c r="A425" s="88">
        <v>42781</v>
      </c>
      <c r="B425" s="131" t="s">
        <v>12</v>
      </c>
      <c r="C425" s="423" t="s">
        <v>3085</v>
      </c>
      <c r="D425" s="16" t="s">
        <v>54</v>
      </c>
      <c r="E425" s="41" t="s">
        <v>2655</v>
      </c>
      <c r="F425" s="31" t="s">
        <v>67</v>
      </c>
      <c r="G425" s="424"/>
      <c r="BX425" s="11"/>
    </row>
    <row r="426" spans="1:76" x14ac:dyDescent="0.25">
      <c r="A426" s="315">
        <v>42888</v>
      </c>
      <c r="B426" s="131" t="s">
        <v>12</v>
      </c>
      <c r="C426" s="438" t="s">
        <v>3086</v>
      </c>
      <c r="D426" s="16" t="s">
        <v>54</v>
      </c>
      <c r="E426" s="41" t="s">
        <v>2649</v>
      </c>
      <c r="F426" s="24" t="s">
        <v>67</v>
      </c>
      <c r="G426" s="424"/>
      <c r="BX426" s="11"/>
    </row>
    <row r="427" spans="1:76" x14ac:dyDescent="0.25">
      <c r="A427" s="88">
        <v>42781</v>
      </c>
      <c r="B427" s="131" t="s">
        <v>12</v>
      </c>
      <c r="C427" s="423" t="s">
        <v>3087</v>
      </c>
      <c r="D427" s="16" t="s">
        <v>54</v>
      </c>
      <c r="E427" s="41" t="s">
        <v>2440</v>
      </c>
      <c r="F427" s="31" t="s">
        <v>67</v>
      </c>
      <c r="G427" s="452"/>
      <c r="BX427" s="11"/>
    </row>
    <row r="428" spans="1:76" x14ac:dyDescent="0.25">
      <c r="A428" s="88">
        <v>42395</v>
      </c>
      <c r="B428" s="131" t="s">
        <v>12</v>
      </c>
      <c r="C428" s="410" t="s">
        <v>3088</v>
      </c>
      <c r="D428" s="16" t="s">
        <v>54</v>
      </c>
      <c r="E428" s="16" t="s">
        <v>439</v>
      </c>
      <c r="F428" s="24" t="s">
        <v>67</v>
      </c>
      <c r="G428" s="87"/>
      <c r="BU428" s="11"/>
      <c r="BV428" s="11"/>
      <c r="BW428" s="11"/>
      <c r="BX428" s="11"/>
    </row>
    <row r="429" spans="1:76" x14ac:dyDescent="0.25">
      <c r="A429" s="359">
        <v>43234</v>
      </c>
      <c r="B429" s="131" t="s">
        <v>12</v>
      </c>
      <c r="C429" s="420" t="s">
        <v>3089</v>
      </c>
      <c r="D429" s="16" t="s">
        <v>54</v>
      </c>
      <c r="E429" s="41" t="s">
        <v>3090</v>
      </c>
      <c r="F429" s="24" t="s">
        <v>67</v>
      </c>
    </row>
    <row r="430" spans="1:76" x14ac:dyDescent="0.25">
      <c r="A430" s="359">
        <v>43234</v>
      </c>
      <c r="B430" s="131" t="s">
        <v>12</v>
      </c>
      <c r="C430" s="420" t="s">
        <v>3091</v>
      </c>
      <c r="D430" s="16" t="s">
        <v>54</v>
      </c>
      <c r="E430" s="41" t="s">
        <v>2658</v>
      </c>
      <c r="F430" s="24" t="s">
        <v>67</v>
      </c>
    </row>
    <row r="431" spans="1:76" x14ac:dyDescent="0.25">
      <c r="A431" s="359">
        <v>43234</v>
      </c>
      <c r="B431" s="131" t="s">
        <v>12</v>
      </c>
      <c r="C431" s="420" t="s">
        <v>3092</v>
      </c>
      <c r="D431" s="16" t="s">
        <v>54</v>
      </c>
      <c r="E431" s="41" t="s">
        <v>3093</v>
      </c>
      <c r="F431" s="24" t="s">
        <v>67</v>
      </c>
    </row>
    <row r="432" spans="1:76" x14ac:dyDescent="0.25">
      <c r="A432" s="16"/>
      <c r="B432" s="428"/>
      <c r="C432" s="425" t="s">
        <v>3094</v>
      </c>
      <c r="D432" s="223" t="s">
        <v>54</v>
      </c>
      <c r="E432" s="430" t="s">
        <v>2644</v>
      </c>
      <c r="F432" s="31" t="s">
        <v>67</v>
      </c>
      <c r="G432" s="451"/>
    </row>
    <row r="433" spans="1:76" x14ac:dyDescent="0.25">
      <c r="A433" s="315">
        <v>43035</v>
      </c>
      <c r="B433" s="131" t="s">
        <v>12</v>
      </c>
      <c r="C433" s="423" t="s">
        <v>3095</v>
      </c>
      <c r="D433" s="16" t="s">
        <v>54</v>
      </c>
      <c r="E433" s="41" t="str">
        <f>VLOOKUP(C433,'[2]2018 Pricing'!$K$12:$O$3176,5,0)</f>
        <v>Spin-on Fuel Filter</v>
      </c>
      <c r="F433" s="24" t="s">
        <v>67</v>
      </c>
      <c r="G433" s="424"/>
      <c r="BX433" s="11"/>
    </row>
    <row r="434" spans="1:76" x14ac:dyDescent="0.25">
      <c r="A434" s="315">
        <v>43084</v>
      </c>
      <c r="B434" s="131" t="s">
        <v>12</v>
      </c>
      <c r="C434" s="423" t="s">
        <v>3096</v>
      </c>
      <c r="D434" s="16" t="s">
        <v>54</v>
      </c>
      <c r="E434" s="41" t="s">
        <v>3097</v>
      </c>
      <c r="F434" s="24" t="s">
        <v>3098</v>
      </c>
      <c r="G434" s="424"/>
      <c r="BX434" s="11"/>
    </row>
    <row r="435" spans="1:76" x14ac:dyDescent="0.25">
      <c r="A435" s="223"/>
      <c r="B435" s="131" t="s">
        <v>12</v>
      </c>
      <c r="C435" s="421" t="s">
        <v>3099</v>
      </c>
      <c r="D435" s="223" t="s">
        <v>54</v>
      </c>
      <c r="E435" s="29" t="s">
        <v>2646</v>
      </c>
      <c r="F435" s="31" t="s">
        <v>67</v>
      </c>
    </row>
    <row r="436" spans="1:76" x14ac:dyDescent="0.25">
      <c r="A436" s="359">
        <v>43234</v>
      </c>
      <c r="B436" s="131" t="s">
        <v>12</v>
      </c>
      <c r="C436" s="420" t="s">
        <v>3100</v>
      </c>
      <c r="D436" s="16" t="s">
        <v>54</v>
      </c>
      <c r="E436" s="41" t="s">
        <v>2826</v>
      </c>
      <c r="F436" s="24" t="s">
        <v>67</v>
      </c>
    </row>
    <row r="437" spans="1:76" x14ac:dyDescent="0.25">
      <c r="A437" s="88">
        <v>42534</v>
      </c>
      <c r="B437" s="131" t="s">
        <v>2847</v>
      </c>
      <c r="C437" s="410" t="s">
        <v>3101</v>
      </c>
      <c r="D437" s="16" t="s">
        <v>54</v>
      </c>
      <c r="E437" s="16" t="s">
        <v>59</v>
      </c>
      <c r="F437" s="24" t="s">
        <v>67</v>
      </c>
      <c r="G437" s="432"/>
      <c r="BV437" s="11"/>
      <c r="BW437" s="11"/>
      <c r="BX437" s="11"/>
    </row>
    <row r="438" spans="1:76" x14ac:dyDescent="0.25">
      <c r="A438" s="16"/>
      <c r="B438" s="428" t="s">
        <v>12</v>
      </c>
      <c r="C438" s="425" t="s">
        <v>605</v>
      </c>
      <c r="D438" s="223" t="s">
        <v>54</v>
      </c>
      <c r="E438" s="426" t="s">
        <v>3102</v>
      </c>
      <c r="F438" s="31" t="s">
        <v>67</v>
      </c>
    </row>
    <row r="439" spans="1:76" x14ac:dyDescent="0.25">
      <c r="A439" s="16"/>
      <c r="B439" s="428" t="s">
        <v>12</v>
      </c>
      <c r="C439" s="429" t="s">
        <v>3103</v>
      </c>
      <c r="D439" s="223" t="s">
        <v>54</v>
      </c>
      <c r="E439" s="426" t="s">
        <v>3104</v>
      </c>
      <c r="F439" s="31" t="s">
        <v>67</v>
      </c>
    </row>
    <row r="440" spans="1:76" x14ac:dyDescent="0.25">
      <c r="A440" s="88">
        <v>42781</v>
      </c>
      <c r="B440" s="131" t="s">
        <v>12</v>
      </c>
      <c r="C440" s="423" t="s">
        <v>3105</v>
      </c>
      <c r="D440" s="16" t="s">
        <v>54</v>
      </c>
      <c r="E440" s="41" t="s">
        <v>2494</v>
      </c>
      <c r="F440" s="31" t="s">
        <v>67</v>
      </c>
      <c r="G440" s="424"/>
      <c r="BX440" s="11"/>
    </row>
    <row r="441" spans="1:76" x14ac:dyDescent="0.25">
      <c r="A441" s="315">
        <v>42888</v>
      </c>
      <c r="B441" s="131" t="s">
        <v>12</v>
      </c>
      <c r="C441" s="423" t="s">
        <v>3106</v>
      </c>
      <c r="D441" s="16" t="s">
        <v>54</v>
      </c>
      <c r="E441" s="41" t="s">
        <v>2646</v>
      </c>
      <c r="F441" s="24" t="s">
        <v>67</v>
      </c>
      <c r="G441" s="424"/>
      <c r="BX441" s="11"/>
    </row>
    <row r="442" spans="1:76" x14ac:dyDescent="0.25">
      <c r="A442" s="223"/>
      <c r="B442" s="131" t="s">
        <v>12</v>
      </c>
      <c r="C442" s="421" t="s">
        <v>3107</v>
      </c>
      <c r="D442" s="223" t="s">
        <v>54</v>
      </c>
      <c r="E442" s="29" t="s">
        <v>3097</v>
      </c>
      <c r="F442" s="31" t="s">
        <v>67</v>
      </c>
      <c r="G442" s="452"/>
    </row>
    <row r="443" spans="1:76" x14ac:dyDescent="0.25">
      <c r="A443" s="88">
        <v>42725</v>
      </c>
      <c r="B443" s="131" t="s">
        <v>12</v>
      </c>
      <c r="C443" s="410" t="s">
        <v>3108</v>
      </c>
      <c r="D443" s="16" t="s">
        <v>54</v>
      </c>
      <c r="E443" s="16" t="s">
        <v>3109</v>
      </c>
      <c r="F443" s="31" t="s">
        <v>67</v>
      </c>
      <c r="G443" s="419"/>
      <c r="BV443" s="11"/>
      <c r="BW443" s="11"/>
      <c r="BX443" s="11"/>
    </row>
    <row r="444" spans="1:76" x14ac:dyDescent="0.25">
      <c r="A444" s="223"/>
      <c r="B444" s="131" t="s">
        <v>12</v>
      </c>
      <c r="C444" s="421" t="s">
        <v>3110</v>
      </c>
      <c r="D444" s="223" t="s">
        <v>54</v>
      </c>
      <c r="E444" s="29" t="s">
        <v>3109</v>
      </c>
      <c r="F444" s="31" t="s">
        <v>67</v>
      </c>
    </row>
    <row r="445" spans="1:76" x14ac:dyDescent="0.25">
      <c r="A445" s="223"/>
      <c r="B445" s="131" t="s">
        <v>12</v>
      </c>
      <c r="C445" s="421" t="s">
        <v>3111</v>
      </c>
      <c r="D445" s="223" t="s">
        <v>54</v>
      </c>
      <c r="E445" s="29" t="s">
        <v>3109</v>
      </c>
      <c r="F445" s="31" t="s">
        <v>67</v>
      </c>
      <c r="G445" s="449"/>
    </row>
    <row r="446" spans="1:76" x14ac:dyDescent="0.25">
      <c r="A446" s="359">
        <v>43234</v>
      </c>
      <c r="B446" s="131" t="s">
        <v>12</v>
      </c>
      <c r="C446" s="368" t="s">
        <v>3112</v>
      </c>
      <c r="D446" s="16" t="s">
        <v>54</v>
      </c>
      <c r="E446" s="426" t="s">
        <v>3109</v>
      </c>
      <c r="F446" s="24" t="s">
        <v>67</v>
      </c>
      <c r="G446" s="86"/>
      <c r="H446" s="422"/>
      <c r="BX446" s="11"/>
    </row>
    <row r="447" spans="1:76" x14ac:dyDescent="0.25">
      <c r="A447" s="223"/>
      <c r="B447" s="131" t="s">
        <v>12</v>
      </c>
      <c r="C447" s="421" t="s">
        <v>3113</v>
      </c>
      <c r="D447" s="223" t="s">
        <v>54</v>
      </c>
      <c r="E447" s="29" t="s">
        <v>3109</v>
      </c>
      <c r="F447" s="31" t="s">
        <v>67</v>
      </c>
    </row>
    <row r="448" spans="1:76" x14ac:dyDescent="0.25">
      <c r="A448" s="88">
        <v>42534</v>
      </c>
      <c r="B448" s="131" t="s">
        <v>2847</v>
      </c>
      <c r="C448" s="410" t="s">
        <v>3114</v>
      </c>
      <c r="D448" s="16" t="s">
        <v>54</v>
      </c>
      <c r="E448" s="16" t="s">
        <v>73</v>
      </c>
      <c r="F448" s="24" t="s">
        <v>67</v>
      </c>
      <c r="G448" s="439"/>
      <c r="BV448" s="11"/>
      <c r="BW448" s="11"/>
      <c r="BX448" s="11"/>
    </row>
    <row r="449" spans="1:76" x14ac:dyDescent="0.25">
      <c r="A449" s="88">
        <v>41960</v>
      </c>
      <c r="B449" s="131" t="s">
        <v>12</v>
      </c>
      <c r="C449" s="440" t="s">
        <v>81</v>
      </c>
      <c r="D449" s="16" t="s">
        <v>54</v>
      </c>
      <c r="E449" s="29" t="s">
        <v>3109</v>
      </c>
      <c r="F449" s="24" t="s">
        <v>67</v>
      </c>
    </row>
    <row r="450" spans="1:76" x14ac:dyDescent="0.25">
      <c r="A450" s="88">
        <v>42534</v>
      </c>
      <c r="B450" s="131" t="s">
        <v>2847</v>
      </c>
      <c r="C450" s="410" t="s">
        <v>3115</v>
      </c>
      <c r="D450" s="16" t="s">
        <v>54</v>
      </c>
      <c r="E450" s="16" t="s">
        <v>73</v>
      </c>
      <c r="F450" s="24" t="s">
        <v>67</v>
      </c>
      <c r="G450" s="450"/>
      <c r="BV450" s="11"/>
      <c r="BW450" s="11"/>
      <c r="BX450" s="11"/>
    </row>
    <row r="451" spans="1:76" x14ac:dyDescent="0.25">
      <c r="A451" s="315">
        <v>42888</v>
      </c>
      <c r="B451" s="131" t="s">
        <v>12</v>
      </c>
      <c r="C451" s="423" t="s">
        <v>3116</v>
      </c>
      <c r="D451" s="16" t="s">
        <v>54</v>
      </c>
      <c r="E451" s="41" t="s">
        <v>3109</v>
      </c>
      <c r="F451" s="24" t="s">
        <v>67</v>
      </c>
      <c r="G451" s="424"/>
      <c r="BX451" s="11"/>
    </row>
    <row r="452" spans="1:76" ht="15.75" x14ac:dyDescent="0.25">
      <c r="A452" s="359">
        <v>43129</v>
      </c>
      <c r="B452" s="131" t="s">
        <v>12</v>
      </c>
      <c r="C452" s="423" t="s">
        <v>3117</v>
      </c>
      <c r="D452" s="16" t="s">
        <v>54</v>
      </c>
      <c r="E452" s="41" t="s">
        <v>3109</v>
      </c>
      <c r="F452" s="24" t="s">
        <v>67</v>
      </c>
      <c r="G452" s="441"/>
      <c r="BX452" s="11"/>
    </row>
    <row r="453" spans="1:76" x14ac:dyDescent="0.25">
      <c r="A453" s="88">
        <v>42629</v>
      </c>
      <c r="B453" s="131" t="s">
        <v>12</v>
      </c>
      <c r="C453" s="410" t="s">
        <v>3118</v>
      </c>
      <c r="D453" s="16" t="s">
        <v>54</v>
      </c>
      <c r="E453" s="16" t="s">
        <v>73</v>
      </c>
      <c r="F453" s="24" t="s">
        <v>67</v>
      </c>
      <c r="G453" s="86"/>
      <c r="BV453" s="11"/>
      <c r="BW453" s="11"/>
      <c r="BX453" s="11"/>
    </row>
    <row r="454" spans="1:76" x14ac:dyDescent="0.25">
      <c r="A454" s="88">
        <v>42534</v>
      </c>
      <c r="B454" s="131" t="s">
        <v>2847</v>
      </c>
      <c r="C454" s="410" t="s">
        <v>3119</v>
      </c>
      <c r="D454" s="16" t="s">
        <v>54</v>
      </c>
      <c r="E454" s="16" t="s">
        <v>73</v>
      </c>
      <c r="F454" s="24" t="s">
        <v>67</v>
      </c>
      <c r="G454" s="432"/>
      <c r="BV454" s="11"/>
      <c r="BW454" s="11"/>
      <c r="BX454" s="11"/>
    </row>
    <row r="455" spans="1:76" x14ac:dyDescent="0.25">
      <c r="A455" s="88">
        <v>42629</v>
      </c>
      <c r="B455" s="131" t="s">
        <v>12</v>
      </c>
      <c r="C455" s="427" t="s">
        <v>3120</v>
      </c>
      <c r="D455" s="16" t="s">
        <v>54</v>
      </c>
      <c r="E455" s="16" t="s">
        <v>59</v>
      </c>
      <c r="F455" s="24" t="s">
        <v>67</v>
      </c>
      <c r="G455" s="442"/>
      <c r="BV455" s="11"/>
      <c r="BW455" s="11"/>
      <c r="BX455" s="11"/>
    </row>
    <row r="456" spans="1:76" x14ac:dyDescent="0.25">
      <c r="A456" s="88">
        <v>42534</v>
      </c>
      <c r="B456" s="131" t="s">
        <v>2847</v>
      </c>
      <c r="C456" s="427" t="s">
        <v>3121</v>
      </c>
      <c r="D456" s="16" t="s">
        <v>54</v>
      </c>
      <c r="E456" s="16" t="s">
        <v>85</v>
      </c>
      <c r="F456" s="24" t="s">
        <v>67</v>
      </c>
      <c r="G456" s="432"/>
      <c r="BV456" s="11"/>
      <c r="BW456" s="11"/>
      <c r="BX456" s="11"/>
    </row>
    <row r="457" spans="1:76" x14ac:dyDescent="0.25">
      <c r="A457" s="223"/>
      <c r="B457" s="131" t="s">
        <v>12</v>
      </c>
      <c r="C457" s="421" t="s">
        <v>3122</v>
      </c>
      <c r="D457" s="223" t="s">
        <v>54</v>
      </c>
      <c r="E457" s="29" t="s">
        <v>3109</v>
      </c>
      <c r="F457" s="31" t="s">
        <v>67</v>
      </c>
      <c r="G457" s="449"/>
    </row>
    <row r="458" spans="1:76" x14ac:dyDescent="0.25">
      <c r="A458" s="88">
        <v>42781</v>
      </c>
      <c r="B458" s="131" t="s">
        <v>12</v>
      </c>
      <c r="C458" s="423" t="s">
        <v>3123</v>
      </c>
      <c r="D458" s="16" t="s">
        <v>54</v>
      </c>
      <c r="E458" s="41" t="s">
        <v>2644</v>
      </c>
      <c r="F458" s="31" t="s">
        <v>67</v>
      </c>
      <c r="G458" s="424"/>
      <c r="BX458" s="11"/>
    </row>
    <row r="459" spans="1:76" x14ac:dyDescent="0.25">
      <c r="A459" s="315">
        <v>42888</v>
      </c>
      <c r="B459" s="131" t="s">
        <v>12</v>
      </c>
      <c r="C459" s="423" t="s">
        <v>3124</v>
      </c>
      <c r="D459" s="16" t="s">
        <v>54</v>
      </c>
      <c r="E459" s="41" t="s">
        <v>2644</v>
      </c>
      <c r="F459" s="24" t="s">
        <v>67</v>
      </c>
      <c r="G459" s="424"/>
      <c r="BX459" s="11"/>
    </row>
    <row r="460" spans="1:76" x14ac:dyDescent="0.25">
      <c r="A460" s="315">
        <v>43084</v>
      </c>
      <c r="B460" s="131" t="s">
        <v>12</v>
      </c>
      <c r="C460" s="423" t="s">
        <v>3125</v>
      </c>
      <c r="D460" s="16" t="s">
        <v>54</v>
      </c>
      <c r="E460" s="41" t="s">
        <v>2644</v>
      </c>
      <c r="F460" s="24" t="s">
        <v>67</v>
      </c>
      <c r="G460" s="424"/>
      <c r="BX460" s="11"/>
    </row>
    <row r="461" spans="1:76" x14ac:dyDescent="0.25">
      <c r="A461" s="315">
        <v>42888</v>
      </c>
      <c r="B461" s="131" t="s">
        <v>12</v>
      </c>
      <c r="C461" s="423" t="s">
        <v>3126</v>
      </c>
      <c r="D461" s="16" t="s">
        <v>54</v>
      </c>
      <c r="E461" s="41" t="s">
        <v>2644</v>
      </c>
      <c r="F461" s="24" t="s">
        <v>3127</v>
      </c>
      <c r="G461" s="424"/>
      <c r="BX461" s="11"/>
    </row>
    <row r="462" spans="1:76" x14ac:dyDescent="0.25">
      <c r="A462" s="88">
        <v>42534</v>
      </c>
      <c r="B462" s="131" t="s">
        <v>2847</v>
      </c>
      <c r="C462" s="427" t="s">
        <v>3128</v>
      </c>
      <c r="D462" s="16" t="s">
        <v>54</v>
      </c>
      <c r="E462" s="16" t="s">
        <v>3129</v>
      </c>
      <c r="F462" s="24" t="s">
        <v>67</v>
      </c>
      <c r="G462" s="432"/>
      <c r="BV462" s="11"/>
      <c r="BW462" s="11"/>
      <c r="BX462" s="11"/>
    </row>
    <row r="463" spans="1:76" x14ac:dyDescent="0.25">
      <c r="A463" s="359">
        <v>43234</v>
      </c>
      <c r="B463" s="131" t="s">
        <v>12</v>
      </c>
      <c r="C463" s="420" t="s">
        <v>3130</v>
      </c>
      <c r="D463" s="16" t="s">
        <v>54</v>
      </c>
      <c r="E463" s="41" t="s">
        <v>2657</v>
      </c>
      <c r="F463" s="24" t="s">
        <v>67</v>
      </c>
    </row>
    <row r="464" spans="1:76" x14ac:dyDescent="0.25">
      <c r="A464" s="359">
        <v>43234</v>
      </c>
      <c r="B464" s="131" t="s">
        <v>12</v>
      </c>
      <c r="C464" s="420" t="s">
        <v>3131</v>
      </c>
      <c r="D464" s="16" t="s">
        <v>54</v>
      </c>
      <c r="E464" s="41" t="s">
        <v>2657</v>
      </c>
      <c r="F464" s="24" t="s">
        <v>67</v>
      </c>
    </row>
    <row r="465" spans="1:76" x14ac:dyDescent="0.25">
      <c r="A465" s="16"/>
      <c r="B465" s="428" t="s">
        <v>12</v>
      </c>
      <c r="C465" s="425" t="s">
        <v>3132</v>
      </c>
      <c r="D465" s="223" t="s">
        <v>54</v>
      </c>
      <c r="E465" s="426" t="s">
        <v>2657</v>
      </c>
      <c r="F465" s="31" t="s">
        <v>67</v>
      </c>
      <c r="G465" s="86"/>
    </row>
    <row r="466" spans="1:76" x14ac:dyDescent="0.25">
      <c r="A466" s="88">
        <v>42395</v>
      </c>
      <c r="B466" s="131" t="s">
        <v>12</v>
      </c>
      <c r="C466" s="427" t="s">
        <v>83</v>
      </c>
      <c r="D466" s="16" t="s">
        <v>54</v>
      </c>
      <c r="E466" s="16" t="s">
        <v>978</v>
      </c>
      <c r="F466" s="24" t="s">
        <v>67</v>
      </c>
      <c r="G466"/>
      <c r="BU466" s="11"/>
      <c r="BV466" s="11"/>
      <c r="BW466" s="11"/>
      <c r="BX466" s="11"/>
    </row>
    <row r="467" spans="1:76" x14ac:dyDescent="0.25">
      <c r="A467" s="359">
        <v>43234</v>
      </c>
      <c r="B467" s="131" t="s">
        <v>12</v>
      </c>
      <c r="C467" s="420" t="s">
        <v>3133</v>
      </c>
      <c r="D467" s="16" t="s">
        <v>54</v>
      </c>
      <c r="E467" s="41" t="s">
        <v>2657</v>
      </c>
      <c r="F467" s="24" t="s">
        <v>67</v>
      </c>
    </row>
    <row r="468" spans="1:76" x14ac:dyDescent="0.25">
      <c r="A468" s="88">
        <v>42781</v>
      </c>
      <c r="B468" s="131" t="s">
        <v>12</v>
      </c>
      <c r="C468" s="423" t="s">
        <v>3134</v>
      </c>
      <c r="D468" s="16" t="s">
        <v>54</v>
      </c>
      <c r="E468" s="41" t="s">
        <v>2657</v>
      </c>
      <c r="F468" s="31" t="s">
        <v>67</v>
      </c>
      <c r="G468" s="424"/>
      <c r="BX468" s="11"/>
    </row>
    <row r="469" spans="1:76" x14ac:dyDescent="0.25">
      <c r="A469" s="88">
        <v>42781</v>
      </c>
      <c r="B469" s="131" t="s">
        <v>12</v>
      </c>
      <c r="C469" s="423" t="s">
        <v>3135</v>
      </c>
      <c r="D469" s="16" t="s">
        <v>54</v>
      </c>
      <c r="E469" s="41" t="s">
        <v>2657</v>
      </c>
      <c r="F469" s="31" t="s">
        <v>67</v>
      </c>
      <c r="G469" s="452"/>
    </row>
    <row r="470" spans="1:76" x14ac:dyDescent="0.25">
      <c r="A470" s="88">
        <v>42781</v>
      </c>
      <c r="B470" s="131" t="s">
        <v>12</v>
      </c>
      <c r="C470" s="423" t="s">
        <v>3136</v>
      </c>
      <c r="D470" s="16" t="s">
        <v>54</v>
      </c>
      <c r="E470" s="41" t="s">
        <v>2657</v>
      </c>
      <c r="F470" s="31" t="s">
        <v>67</v>
      </c>
      <c r="G470" s="452"/>
      <c r="BX470" s="11"/>
    </row>
    <row r="471" spans="1:76" x14ac:dyDescent="0.25">
      <c r="A471" s="359">
        <v>43234</v>
      </c>
      <c r="B471" s="131" t="s">
        <v>12</v>
      </c>
      <c r="C471" s="368" t="s">
        <v>3137</v>
      </c>
      <c r="D471" s="16" t="s">
        <v>54</v>
      </c>
      <c r="E471" s="41" t="s">
        <v>2657</v>
      </c>
      <c r="F471" s="24" t="s">
        <v>67</v>
      </c>
      <c r="G471" s="86"/>
      <c r="H471" s="422"/>
      <c r="BX471" s="11"/>
    </row>
    <row r="472" spans="1:76" x14ac:dyDescent="0.25">
      <c r="A472" s="359">
        <v>43234</v>
      </c>
      <c r="B472" s="131" t="s">
        <v>12</v>
      </c>
      <c r="C472" s="368" t="s">
        <v>3138</v>
      </c>
      <c r="D472" s="16" t="s">
        <v>54</v>
      </c>
      <c r="E472" s="41" t="s">
        <v>2657</v>
      </c>
      <c r="F472" s="24" t="s">
        <v>67</v>
      </c>
      <c r="G472" s="86"/>
      <c r="H472" s="422"/>
      <c r="BX472" s="11"/>
    </row>
    <row r="473" spans="1:76" x14ac:dyDescent="0.25">
      <c r="A473" s="315">
        <v>42888</v>
      </c>
      <c r="B473" s="131" t="s">
        <v>12</v>
      </c>
      <c r="C473" s="438" t="s">
        <v>3139</v>
      </c>
      <c r="D473" s="16" t="s">
        <v>54</v>
      </c>
      <c r="E473" s="41" t="s">
        <v>2657</v>
      </c>
      <c r="F473" s="24" t="s">
        <v>67</v>
      </c>
      <c r="G473" s="424"/>
      <c r="BX473" s="11"/>
    </row>
    <row r="474" spans="1:76" x14ac:dyDescent="0.25">
      <c r="A474" s="359">
        <v>43234</v>
      </c>
      <c r="B474" s="131" t="s">
        <v>12</v>
      </c>
      <c r="C474" s="368" t="s">
        <v>3140</v>
      </c>
      <c r="D474" s="16" t="s">
        <v>54</v>
      </c>
      <c r="E474" s="41" t="s">
        <v>2657</v>
      </c>
      <c r="F474" s="24" t="s">
        <v>67</v>
      </c>
      <c r="G474" s="86"/>
      <c r="H474" s="422"/>
      <c r="BX474" s="11"/>
    </row>
    <row r="475" spans="1:76" x14ac:dyDescent="0.25">
      <c r="A475" s="359">
        <v>43234</v>
      </c>
      <c r="B475" s="131" t="s">
        <v>12</v>
      </c>
      <c r="C475" s="420" t="s">
        <v>3141</v>
      </c>
      <c r="D475" s="16" t="s">
        <v>54</v>
      </c>
      <c r="E475" s="41" t="s">
        <v>2657</v>
      </c>
      <c r="F475" s="24" t="s">
        <v>67</v>
      </c>
    </row>
    <row r="476" spans="1:76" x14ac:dyDescent="0.25">
      <c r="A476" s="359">
        <v>43234</v>
      </c>
      <c r="B476" s="131" t="s">
        <v>12</v>
      </c>
      <c r="C476" s="420" t="s">
        <v>3142</v>
      </c>
      <c r="D476" s="16" t="s">
        <v>54</v>
      </c>
      <c r="E476" s="41" t="s">
        <v>2657</v>
      </c>
      <c r="F476" s="24" t="s">
        <v>67</v>
      </c>
    </row>
    <row r="477" spans="1:76" x14ac:dyDescent="0.25">
      <c r="A477" s="88">
        <v>42781</v>
      </c>
      <c r="B477" s="131" t="s">
        <v>12</v>
      </c>
      <c r="C477" s="423" t="s">
        <v>3143</v>
      </c>
      <c r="D477" s="16" t="s">
        <v>54</v>
      </c>
      <c r="E477" s="41" t="s">
        <v>2657</v>
      </c>
      <c r="F477" s="31" t="s">
        <v>67</v>
      </c>
      <c r="G477" s="424"/>
      <c r="BX477" s="11"/>
    </row>
    <row r="478" spans="1:76" x14ac:dyDescent="0.25">
      <c r="A478" s="315">
        <v>42888</v>
      </c>
      <c r="B478" s="131" t="s">
        <v>12</v>
      </c>
      <c r="C478" s="438" t="s">
        <v>3144</v>
      </c>
      <c r="D478" s="16" t="s">
        <v>54</v>
      </c>
      <c r="E478" s="41" t="s">
        <v>2657</v>
      </c>
      <c r="F478" s="24" t="s">
        <v>67</v>
      </c>
      <c r="G478" s="424"/>
      <c r="BX478" s="11"/>
    </row>
    <row r="479" spans="1:76" x14ac:dyDescent="0.25">
      <c r="A479" s="359">
        <v>43234</v>
      </c>
      <c r="B479" s="131" t="s">
        <v>12</v>
      </c>
      <c r="C479" s="420" t="s">
        <v>3145</v>
      </c>
      <c r="D479" s="16" t="s">
        <v>54</v>
      </c>
      <c r="E479" s="41" t="s">
        <v>2657</v>
      </c>
      <c r="F479" s="24" t="s">
        <v>67</v>
      </c>
    </row>
    <row r="480" spans="1:76" x14ac:dyDescent="0.25">
      <c r="A480" s="315">
        <v>42888</v>
      </c>
      <c r="B480" s="131" t="s">
        <v>12</v>
      </c>
      <c r="C480" s="438" t="s">
        <v>3146</v>
      </c>
      <c r="D480" s="16" t="s">
        <v>54</v>
      </c>
      <c r="E480" s="41" t="s">
        <v>2657</v>
      </c>
      <c r="F480" s="24" t="s">
        <v>67</v>
      </c>
      <c r="G480" s="424"/>
      <c r="BX480" s="11"/>
    </row>
    <row r="481" spans="1:76" x14ac:dyDescent="0.25">
      <c r="A481" s="359">
        <v>43234</v>
      </c>
      <c r="B481" s="131" t="s">
        <v>12</v>
      </c>
      <c r="C481" s="368" t="s">
        <v>3147</v>
      </c>
      <c r="D481" s="16" t="s">
        <v>54</v>
      </c>
      <c r="E481" s="41" t="s">
        <v>3148</v>
      </c>
      <c r="F481" s="24" t="s">
        <v>67</v>
      </c>
      <c r="G481" s="86"/>
      <c r="H481" s="422"/>
      <c r="BX481" s="11"/>
    </row>
    <row r="482" spans="1:76" x14ac:dyDescent="0.25">
      <c r="A482" s="88">
        <v>42725</v>
      </c>
      <c r="B482" s="131" t="s">
        <v>12</v>
      </c>
      <c r="C482" s="434" t="s">
        <v>3149</v>
      </c>
      <c r="D482" s="16" t="s">
        <v>54</v>
      </c>
      <c r="E482" s="41" t="s">
        <v>2657</v>
      </c>
      <c r="F482" s="31" t="s">
        <v>67</v>
      </c>
      <c r="G482" s="424"/>
      <c r="BV482" s="11"/>
      <c r="BW482" s="11"/>
      <c r="BX482" s="11"/>
    </row>
    <row r="483" spans="1:76" x14ac:dyDescent="0.25">
      <c r="A483" s="315">
        <v>42888</v>
      </c>
      <c r="B483" s="131" t="s">
        <v>12</v>
      </c>
      <c r="C483" s="438" t="s">
        <v>3150</v>
      </c>
      <c r="D483" s="16" t="s">
        <v>54</v>
      </c>
      <c r="E483" s="41" t="s">
        <v>2657</v>
      </c>
      <c r="F483" s="24" t="s">
        <v>67</v>
      </c>
      <c r="G483" s="424"/>
      <c r="BX483" s="11"/>
    </row>
    <row r="484" spans="1:76" x14ac:dyDescent="0.25">
      <c r="A484" s="359">
        <v>43234</v>
      </c>
      <c r="B484" s="131" t="s">
        <v>12</v>
      </c>
      <c r="C484" s="368" t="s">
        <v>3151</v>
      </c>
      <c r="D484" s="16" t="s">
        <v>54</v>
      </c>
      <c r="E484" s="41" t="s">
        <v>2657</v>
      </c>
      <c r="F484" s="24" t="s">
        <v>67</v>
      </c>
      <c r="G484" s="86"/>
      <c r="H484" s="422"/>
      <c r="BX484" s="11"/>
    </row>
    <row r="485" spans="1:76" x14ac:dyDescent="0.25">
      <c r="A485" s="223"/>
      <c r="B485" s="131" t="s">
        <v>12</v>
      </c>
      <c r="C485" s="425" t="s">
        <v>3152</v>
      </c>
      <c r="D485" s="223" t="s">
        <v>54</v>
      </c>
      <c r="E485" s="29" t="s">
        <v>2657</v>
      </c>
      <c r="F485" s="31" t="s">
        <v>67</v>
      </c>
    </row>
    <row r="486" spans="1:76" x14ac:dyDescent="0.25">
      <c r="A486" s="315">
        <v>42888</v>
      </c>
      <c r="B486" s="131" t="s">
        <v>12</v>
      </c>
      <c r="C486" s="438" t="s">
        <v>3153</v>
      </c>
      <c r="D486" s="16" t="s">
        <v>54</v>
      </c>
      <c r="E486" s="41" t="s">
        <v>2657</v>
      </c>
      <c r="F486" s="24" t="s">
        <v>67</v>
      </c>
      <c r="G486" s="424"/>
      <c r="BX486" s="11"/>
    </row>
    <row r="487" spans="1:76" x14ac:dyDescent="0.25">
      <c r="A487" s="359">
        <v>43234</v>
      </c>
      <c r="B487" s="131" t="s">
        <v>12</v>
      </c>
      <c r="C487" s="420" t="s">
        <v>3154</v>
      </c>
      <c r="D487" s="16" t="s">
        <v>54</v>
      </c>
      <c r="E487" s="41" t="s">
        <v>2657</v>
      </c>
      <c r="F487" s="24" t="s">
        <v>67</v>
      </c>
    </row>
    <row r="488" spans="1:76" x14ac:dyDescent="0.25">
      <c r="A488" s="359">
        <v>43234</v>
      </c>
      <c r="B488" s="131" t="s">
        <v>12</v>
      </c>
      <c r="C488" s="420" t="s">
        <v>3155</v>
      </c>
      <c r="D488" s="16" t="s">
        <v>54</v>
      </c>
      <c r="E488" s="41" t="s">
        <v>2657</v>
      </c>
      <c r="F488" s="24" t="s">
        <v>67</v>
      </c>
    </row>
    <row r="489" spans="1:76" x14ac:dyDescent="0.25">
      <c r="A489" s="16"/>
      <c r="B489" s="428" t="s">
        <v>12</v>
      </c>
      <c r="C489" s="425" t="s">
        <v>3156</v>
      </c>
      <c r="D489" s="223" t="s">
        <v>54</v>
      </c>
      <c r="E489" s="426" t="s">
        <v>2657</v>
      </c>
      <c r="F489" s="31" t="s">
        <v>67</v>
      </c>
    </row>
    <row r="490" spans="1:76" x14ac:dyDescent="0.25">
      <c r="A490" s="359">
        <v>43234</v>
      </c>
      <c r="B490" s="131" t="s">
        <v>12</v>
      </c>
      <c r="C490" s="420" t="s">
        <v>3157</v>
      </c>
      <c r="D490" s="16" t="s">
        <v>54</v>
      </c>
      <c r="E490" s="41" t="s">
        <v>2657</v>
      </c>
      <c r="F490" s="24" t="s">
        <v>67</v>
      </c>
    </row>
    <row r="491" spans="1:76" x14ac:dyDescent="0.25">
      <c r="A491" s="315">
        <v>42888</v>
      </c>
      <c r="B491" s="131" t="s">
        <v>12</v>
      </c>
      <c r="C491" s="438" t="s">
        <v>3158</v>
      </c>
      <c r="D491" s="16" t="s">
        <v>54</v>
      </c>
      <c r="E491" s="41" t="s">
        <v>2657</v>
      </c>
      <c r="F491" s="24" t="s">
        <v>67</v>
      </c>
      <c r="G491" s="424"/>
      <c r="BX491" s="11"/>
    </row>
    <row r="492" spans="1:76" x14ac:dyDescent="0.25">
      <c r="A492" s="359">
        <v>43234</v>
      </c>
      <c r="B492" s="131" t="s">
        <v>12</v>
      </c>
      <c r="C492" s="420" t="s">
        <v>3159</v>
      </c>
      <c r="D492" s="16" t="s">
        <v>54</v>
      </c>
      <c r="E492" s="41" t="s">
        <v>2657</v>
      </c>
      <c r="F492" s="24" t="s">
        <v>67</v>
      </c>
    </row>
    <row r="493" spans="1:76" x14ac:dyDescent="0.25">
      <c r="A493" s="359">
        <v>43234</v>
      </c>
      <c r="B493" s="131" t="s">
        <v>12</v>
      </c>
      <c r="C493" s="420" t="s">
        <v>3160</v>
      </c>
      <c r="D493" s="16" t="s">
        <v>54</v>
      </c>
      <c r="E493" s="41" t="s">
        <v>2657</v>
      </c>
      <c r="F493" s="24" t="s">
        <v>67</v>
      </c>
    </row>
    <row r="494" spans="1:76" x14ac:dyDescent="0.25">
      <c r="A494" s="315">
        <v>43084</v>
      </c>
      <c r="B494" s="131" t="s">
        <v>12</v>
      </c>
      <c r="C494" s="423" t="s">
        <v>3161</v>
      </c>
      <c r="D494" s="16" t="s">
        <v>54</v>
      </c>
      <c r="E494" s="41" t="s">
        <v>2657</v>
      </c>
      <c r="F494" s="24" t="s">
        <v>67</v>
      </c>
      <c r="G494" s="424"/>
      <c r="BX494" s="11"/>
    </row>
    <row r="495" spans="1:76" x14ac:dyDescent="0.25">
      <c r="A495" s="359">
        <v>43234</v>
      </c>
      <c r="B495" s="131" t="s">
        <v>12</v>
      </c>
      <c r="C495" s="420" t="s">
        <v>3162</v>
      </c>
      <c r="D495" s="16" t="s">
        <v>54</v>
      </c>
      <c r="E495" s="41" t="s">
        <v>2657</v>
      </c>
      <c r="F495" s="24" t="s">
        <v>67</v>
      </c>
    </row>
    <row r="496" spans="1:76" x14ac:dyDescent="0.25">
      <c r="A496" s="359">
        <v>43234</v>
      </c>
      <c r="B496" s="131" t="s">
        <v>12</v>
      </c>
      <c r="C496" s="420" t="s">
        <v>3163</v>
      </c>
      <c r="D496" s="16" t="s">
        <v>54</v>
      </c>
      <c r="E496" s="41" t="s">
        <v>2657</v>
      </c>
      <c r="F496" s="24" t="s">
        <v>67</v>
      </c>
    </row>
    <row r="497" spans="1:76" x14ac:dyDescent="0.25">
      <c r="A497" s="359">
        <v>43234</v>
      </c>
      <c r="B497" s="131" t="s">
        <v>12</v>
      </c>
      <c r="C497" s="420" t="s">
        <v>3164</v>
      </c>
      <c r="D497" s="16" t="s">
        <v>54</v>
      </c>
      <c r="E497" s="41" t="s">
        <v>3148</v>
      </c>
      <c r="F497" s="24" t="s">
        <v>67</v>
      </c>
    </row>
    <row r="498" spans="1:76" x14ac:dyDescent="0.25">
      <c r="A498" s="359">
        <v>43234</v>
      </c>
      <c r="B498" s="131" t="s">
        <v>12</v>
      </c>
      <c r="C498" s="420" t="s">
        <v>3165</v>
      </c>
      <c r="D498" s="16" t="s">
        <v>54</v>
      </c>
      <c r="E498" s="41" t="s">
        <v>2657</v>
      </c>
      <c r="F498" s="24" t="s">
        <v>67</v>
      </c>
    </row>
    <row r="499" spans="1:76" x14ac:dyDescent="0.25">
      <c r="A499" s="359">
        <v>43234</v>
      </c>
      <c r="B499" s="131" t="s">
        <v>12</v>
      </c>
      <c r="C499" s="420" t="s">
        <v>3166</v>
      </c>
      <c r="D499" s="16" t="s">
        <v>54</v>
      </c>
      <c r="E499" s="41" t="s">
        <v>2657</v>
      </c>
      <c r="F499" s="24" t="s">
        <v>67</v>
      </c>
    </row>
    <row r="500" spans="1:76" x14ac:dyDescent="0.25">
      <c r="A500" s="359">
        <v>43234</v>
      </c>
      <c r="B500" s="131" t="s">
        <v>12</v>
      </c>
      <c r="C500" s="420" t="s">
        <v>3167</v>
      </c>
      <c r="D500" s="16" t="s">
        <v>54</v>
      </c>
      <c r="E500" s="41" t="s">
        <v>2657</v>
      </c>
      <c r="F500" s="24" t="s">
        <v>67</v>
      </c>
    </row>
    <row r="501" spans="1:76" x14ac:dyDescent="0.25">
      <c r="A501" s="359">
        <v>43234</v>
      </c>
      <c r="B501" s="131" t="s">
        <v>12</v>
      </c>
      <c r="C501" s="420" t="s">
        <v>3168</v>
      </c>
      <c r="D501" s="16" t="s">
        <v>54</v>
      </c>
      <c r="E501" s="41" t="s">
        <v>3169</v>
      </c>
      <c r="F501" s="24" t="s">
        <v>67</v>
      </c>
    </row>
    <row r="502" spans="1:76" x14ac:dyDescent="0.25">
      <c r="A502" s="359">
        <v>43234</v>
      </c>
      <c r="B502" s="131" t="s">
        <v>12</v>
      </c>
      <c r="C502" s="368" t="s">
        <v>3170</v>
      </c>
      <c r="D502" s="16" t="s">
        <v>54</v>
      </c>
      <c r="E502" s="41" t="s">
        <v>2656</v>
      </c>
      <c r="F502" s="24" t="s">
        <v>67</v>
      </c>
      <c r="G502" s="452"/>
      <c r="H502" s="422"/>
      <c r="BX502" s="11"/>
    </row>
    <row r="503" spans="1:76" x14ac:dyDescent="0.25">
      <c r="A503" s="359">
        <v>43234</v>
      </c>
      <c r="B503" s="131" t="s">
        <v>12</v>
      </c>
      <c r="C503" s="420" t="s">
        <v>3171</v>
      </c>
      <c r="D503" s="16" t="s">
        <v>54</v>
      </c>
      <c r="E503" s="41" t="s">
        <v>3169</v>
      </c>
      <c r="F503" s="24" t="s">
        <v>67</v>
      </c>
    </row>
    <row r="504" spans="1:76" x14ac:dyDescent="0.25">
      <c r="A504" s="359">
        <v>43234</v>
      </c>
      <c r="B504" s="131" t="s">
        <v>12</v>
      </c>
      <c r="C504" s="420" t="s">
        <v>3172</v>
      </c>
      <c r="D504" s="16" t="s">
        <v>54</v>
      </c>
      <c r="E504" s="41" t="s">
        <v>3169</v>
      </c>
      <c r="F504" s="24" t="s">
        <v>67</v>
      </c>
    </row>
    <row r="505" spans="1:76" x14ac:dyDescent="0.25">
      <c r="A505" s="359">
        <v>43234</v>
      </c>
      <c r="B505" s="131" t="s">
        <v>12</v>
      </c>
      <c r="C505" s="420" t="s">
        <v>3173</v>
      </c>
      <c r="D505" s="16" t="s">
        <v>54</v>
      </c>
      <c r="E505" s="41" t="s">
        <v>3169</v>
      </c>
      <c r="F505" s="24" t="s">
        <v>67</v>
      </c>
    </row>
    <row r="506" spans="1:76" x14ac:dyDescent="0.25">
      <c r="A506" s="359">
        <v>43234</v>
      </c>
      <c r="B506" s="131" t="s">
        <v>12</v>
      </c>
      <c r="C506" s="420" t="s">
        <v>3174</v>
      </c>
      <c r="D506" s="16" t="s">
        <v>54</v>
      </c>
      <c r="E506" s="41" t="s">
        <v>3175</v>
      </c>
      <c r="F506" s="24" t="s">
        <v>67</v>
      </c>
    </row>
    <row r="507" spans="1:76" x14ac:dyDescent="0.25">
      <c r="A507" s="359">
        <v>43234</v>
      </c>
      <c r="B507" s="131" t="s">
        <v>12</v>
      </c>
      <c r="C507" s="420" t="s">
        <v>3176</v>
      </c>
      <c r="D507" s="16" t="s">
        <v>54</v>
      </c>
      <c r="E507" s="41" t="s">
        <v>3169</v>
      </c>
      <c r="F507" s="24" t="s">
        <v>67</v>
      </c>
    </row>
    <row r="508" spans="1:76" x14ac:dyDescent="0.25">
      <c r="A508" s="359">
        <v>43234</v>
      </c>
      <c r="B508" s="131" t="s">
        <v>12</v>
      </c>
      <c r="C508" s="420" t="s">
        <v>3177</v>
      </c>
      <c r="D508" s="16" t="s">
        <v>54</v>
      </c>
      <c r="E508" s="41" t="s">
        <v>3169</v>
      </c>
      <c r="F508" s="24" t="s">
        <v>67</v>
      </c>
    </row>
    <row r="509" spans="1:76" x14ac:dyDescent="0.25">
      <c r="A509" s="359">
        <v>43234</v>
      </c>
      <c r="B509" s="131" t="s">
        <v>12</v>
      </c>
      <c r="C509" s="420" t="s">
        <v>3178</v>
      </c>
      <c r="D509" s="16" t="s">
        <v>54</v>
      </c>
      <c r="E509" s="41" t="s">
        <v>3179</v>
      </c>
      <c r="F509" s="24" t="s">
        <v>67</v>
      </c>
    </row>
    <row r="510" spans="1:76" x14ac:dyDescent="0.25">
      <c r="A510" s="16"/>
      <c r="B510" s="428" t="s">
        <v>12</v>
      </c>
      <c r="C510" s="425" t="s">
        <v>3180</v>
      </c>
      <c r="D510" s="223" t="s">
        <v>54</v>
      </c>
      <c r="E510" s="426" t="s">
        <v>3181</v>
      </c>
      <c r="F510" s="31" t="s">
        <v>67</v>
      </c>
    </row>
    <row r="511" spans="1:76" x14ac:dyDescent="0.25">
      <c r="A511" s="88">
        <v>41960</v>
      </c>
      <c r="B511" s="131" t="s">
        <v>12</v>
      </c>
      <c r="C511" s="440" t="s">
        <v>80</v>
      </c>
      <c r="D511" s="16" t="s">
        <v>54</v>
      </c>
      <c r="E511" s="29" t="s">
        <v>3182</v>
      </c>
      <c r="F511" s="24" t="s">
        <v>67</v>
      </c>
    </row>
    <row r="512" spans="1:76" x14ac:dyDescent="0.25">
      <c r="A512" s="223"/>
      <c r="B512" s="131" t="s">
        <v>12</v>
      </c>
      <c r="C512" s="425" t="s">
        <v>3183</v>
      </c>
      <c r="D512" s="223" t="s">
        <v>54</v>
      </c>
      <c r="E512" s="29" t="s">
        <v>2645</v>
      </c>
      <c r="F512" s="31" t="s">
        <v>67</v>
      </c>
      <c r="G512" s="449"/>
    </row>
    <row r="513" spans="1:76" x14ac:dyDescent="0.25">
      <c r="A513" s="88">
        <v>42395</v>
      </c>
      <c r="B513" s="131" t="s">
        <v>12</v>
      </c>
      <c r="C513" s="427" t="s">
        <v>3184</v>
      </c>
      <c r="D513" s="16" t="s">
        <v>54</v>
      </c>
      <c r="E513" s="16" t="s">
        <v>439</v>
      </c>
      <c r="F513" s="24" t="s">
        <v>67</v>
      </c>
      <c r="G513"/>
      <c r="BU513" s="11"/>
      <c r="BV513" s="11"/>
      <c r="BW513" s="11"/>
      <c r="BX513" s="11"/>
    </row>
    <row r="514" spans="1:76" x14ac:dyDescent="0.25">
      <c r="A514" s="88">
        <v>42534</v>
      </c>
      <c r="B514" s="131" t="s">
        <v>2847</v>
      </c>
      <c r="C514" s="410" t="s">
        <v>3185</v>
      </c>
      <c r="D514" s="16" t="s">
        <v>54</v>
      </c>
      <c r="E514" s="16" t="s">
        <v>85</v>
      </c>
      <c r="F514" s="24" t="s">
        <v>67</v>
      </c>
      <c r="G514" s="432"/>
      <c r="BV514" s="11"/>
      <c r="BW514" s="11"/>
      <c r="BX514" s="11"/>
    </row>
    <row r="515" spans="1:76" x14ac:dyDescent="0.25">
      <c r="A515" s="359">
        <v>43234</v>
      </c>
      <c r="B515" s="131" t="s">
        <v>12</v>
      </c>
      <c r="C515" s="420" t="s">
        <v>3186</v>
      </c>
      <c r="D515" s="16" t="s">
        <v>54</v>
      </c>
      <c r="E515" s="41" t="s">
        <v>2645</v>
      </c>
      <c r="F515" s="24" t="s">
        <v>67</v>
      </c>
    </row>
    <row r="516" spans="1:76" x14ac:dyDescent="0.25">
      <c r="A516" s="359">
        <v>43234</v>
      </c>
      <c r="B516" s="131" t="s">
        <v>12</v>
      </c>
      <c r="C516" s="420" t="s">
        <v>3187</v>
      </c>
      <c r="D516" s="16" t="s">
        <v>54</v>
      </c>
      <c r="E516" s="41" t="s">
        <v>2657</v>
      </c>
      <c r="F516" s="24" t="s">
        <v>67</v>
      </c>
    </row>
    <row r="517" spans="1:76" x14ac:dyDescent="0.25">
      <c r="A517" s="359">
        <v>43234</v>
      </c>
      <c r="B517" s="131" t="s">
        <v>12</v>
      </c>
      <c r="C517" s="420" t="s">
        <v>3188</v>
      </c>
      <c r="D517" s="16" t="s">
        <v>54</v>
      </c>
      <c r="E517" s="41" t="s">
        <v>2645</v>
      </c>
      <c r="F517" s="24" t="s">
        <v>67</v>
      </c>
    </row>
    <row r="518" spans="1:76" x14ac:dyDescent="0.25">
      <c r="A518" s="443">
        <v>43234</v>
      </c>
      <c r="B518" s="131" t="s">
        <v>12</v>
      </c>
      <c r="C518" s="420" t="s">
        <v>3189</v>
      </c>
      <c r="D518" s="16" t="s">
        <v>54</v>
      </c>
      <c r="E518" s="41" t="s">
        <v>2645</v>
      </c>
      <c r="F518" s="24" t="s">
        <v>67</v>
      </c>
    </row>
    <row r="519" spans="1:76" x14ac:dyDescent="0.25">
      <c r="A519" s="14"/>
      <c r="B519" s="131" t="s">
        <v>12</v>
      </c>
      <c r="C519" s="425" t="s">
        <v>3190</v>
      </c>
      <c r="D519" s="223" t="s">
        <v>54</v>
      </c>
      <c r="E519" s="29" t="s">
        <v>2645</v>
      </c>
      <c r="F519" s="31" t="s">
        <v>67</v>
      </c>
      <c r="G519" s="449"/>
    </row>
    <row r="520" spans="1:76" x14ac:dyDescent="0.25">
      <c r="B520" s="4" t="s">
        <v>12</v>
      </c>
      <c r="C520" s="429" t="s">
        <v>3191</v>
      </c>
      <c r="D520" s="223" t="s">
        <v>54</v>
      </c>
      <c r="E520" s="426" t="s">
        <v>2645</v>
      </c>
      <c r="F520" s="31" t="s">
        <v>67</v>
      </c>
      <c r="G520" s="452"/>
    </row>
    <row r="521" spans="1:76" x14ac:dyDescent="0.25">
      <c r="A521" s="444">
        <v>42725</v>
      </c>
      <c r="B521" s="445" t="s">
        <v>12</v>
      </c>
      <c r="C521" s="410" t="s">
        <v>3192</v>
      </c>
      <c r="D521" s="16" t="s">
        <v>54</v>
      </c>
      <c r="E521" s="41" t="s">
        <v>2645</v>
      </c>
      <c r="F521" s="31" t="s">
        <v>67</v>
      </c>
      <c r="G521" s="419"/>
      <c r="BV521" s="11"/>
      <c r="BW521" s="11"/>
      <c r="BX521" s="11"/>
    </row>
    <row r="522" spans="1:76" x14ac:dyDescent="0.25">
      <c r="A522" s="444">
        <v>42725</v>
      </c>
      <c r="B522" s="445" t="s">
        <v>12</v>
      </c>
      <c r="C522" s="434" t="s">
        <v>3193</v>
      </c>
      <c r="D522" s="15" t="s">
        <v>54</v>
      </c>
      <c r="E522" s="41" t="s">
        <v>2645</v>
      </c>
      <c r="F522" s="31" t="s">
        <v>67</v>
      </c>
      <c r="G522" s="424"/>
      <c r="BV522" s="11"/>
      <c r="BW522" s="11"/>
      <c r="BX522" s="11"/>
    </row>
    <row r="523" spans="1:76" x14ac:dyDescent="0.25">
      <c r="A523" s="443">
        <v>43234</v>
      </c>
      <c r="B523" s="445" t="s">
        <v>12</v>
      </c>
      <c r="C523" s="420" t="s">
        <v>3194</v>
      </c>
      <c r="D523" s="16" t="s">
        <v>54</v>
      </c>
      <c r="E523" s="41" t="s">
        <v>2645</v>
      </c>
      <c r="F523" s="24" t="s">
        <v>67</v>
      </c>
    </row>
    <row r="524" spans="1:76" x14ac:dyDescent="0.25">
      <c r="A524" s="14"/>
      <c r="B524" s="445" t="s">
        <v>12</v>
      </c>
      <c r="C524" s="425" t="s">
        <v>3195</v>
      </c>
      <c r="D524" s="223" t="s">
        <v>54</v>
      </c>
      <c r="E524" s="29" t="s">
        <v>2645</v>
      </c>
      <c r="F524" s="31" t="s">
        <v>67</v>
      </c>
      <c r="G524" s="449"/>
    </row>
    <row r="525" spans="1:76" x14ac:dyDescent="0.25">
      <c r="B525" s="4" t="s">
        <v>12</v>
      </c>
      <c r="C525" s="425" t="s">
        <v>3196</v>
      </c>
      <c r="D525" s="223" t="s">
        <v>54</v>
      </c>
      <c r="E525" s="426" t="s">
        <v>2645</v>
      </c>
      <c r="F525" s="31" t="s">
        <v>67</v>
      </c>
      <c r="G525" s="86"/>
    </row>
    <row r="526" spans="1:76" x14ac:dyDescent="0.25">
      <c r="A526" s="443">
        <v>43234</v>
      </c>
      <c r="B526" s="445" t="s">
        <v>12</v>
      </c>
      <c r="C526" s="420" t="s">
        <v>3197</v>
      </c>
      <c r="D526" s="16" t="s">
        <v>54</v>
      </c>
      <c r="E526" s="41" t="s">
        <v>2645</v>
      </c>
      <c r="F526" s="24" t="s">
        <v>67</v>
      </c>
    </row>
    <row r="527" spans="1:76" x14ac:dyDescent="0.25">
      <c r="A527" s="443">
        <v>43234</v>
      </c>
      <c r="B527" s="445" t="s">
        <v>12</v>
      </c>
      <c r="C527" s="420" t="s">
        <v>3198</v>
      </c>
      <c r="D527" s="16" t="s">
        <v>54</v>
      </c>
      <c r="E527" s="41" t="s">
        <v>2645</v>
      </c>
      <c r="F527" s="24" t="s">
        <v>67</v>
      </c>
    </row>
    <row r="528" spans="1:76" x14ac:dyDescent="0.25">
      <c r="A528" s="443">
        <v>43234</v>
      </c>
      <c r="B528" s="445" t="s">
        <v>12</v>
      </c>
      <c r="C528" s="420" t="s">
        <v>3199</v>
      </c>
      <c r="D528" s="16" t="s">
        <v>54</v>
      </c>
      <c r="E528" s="41" t="s">
        <v>2645</v>
      </c>
      <c r="F528" s="24" t="s">
        <v>67</v>
      </c>
    </row>
    <row r="529" spans="1:95" x14ac:dyDescent="0.25">
      <c r="A529" s="444">
        <v>42725</v>
      </c>
      <c r="B529" s="445" t="s">
        <v>12</v>
      </c>
      <c r="C529" s="434" t="s">
        <v>3200</v>
      </c>
      <c r="D529" s="16" t="s">
        <v>54</v>
      </c>
      <c r="E529" s="41" t="s">
        <v>2645</v>
      </c>
      <c r="F529" s="31" t="s">
        <v>67</v>
      </c>
      <c r="G529" s="424"/>
      <c r="BV529" s="11"/>
      <c r="BW529" s="11"/>
      <c r="BX529" s="11"/>
    </row>
    <row r="530" spans="1:95" x14ac:dyDescent="0.25">
      <c r="A530" s="446">
        <v>43035</v>
      </c>
      <c r="B530" s="445" t="s">
        <v>12</v>
      </c>
      <c r="C530" s="423" t="s">
        <v>3201</v>
      </c>
      <c r="D530" s="16" t="s">
        <v>54</v>
      </c>
      <c r="E530" s="41" t="str">
        <f>VLOOKUP(C530,'[2]2018 Pricing'!$K$12:$O$3176,5,0)</f>
        <v>Cartridge Oil Filter</v>
      </c>
      <c r="F530" s="24" t="s">
        <v>67</v>
      </c>
      <c r="G530" s="424"/>
      <c r="BX530" s="11"/>
    </row>
    <row r="531" spans="1:95" x14ac:dyDescent="0.25">
      <c r="A531" s="443">
        <v>43234</v>
      </c>
      <c r="B531" s="445" t="s">
        <v>12</v>
      </c>
      <c r="C531" s="420" t="s">
        <v>3202</v>
      </c>
      <c r="D531" s="16" t="s">
        <v>54</v>
      </c>
      <c r="E531" s="41" t="s">
        <v>3203</v>
      </c>
      <c r="F531" s="24" t="s">
        <v>67</v>
      </c>
    </row>
    <row r="532" spans="1:95" x14ac:dyDescent="0.25">
      <c r="A532" s="14"/>
      <c r="B532" s="445" t="s">
        <v>12</v>
      </c>
      <c r="C532" s="425" t="s">
        <v>3204</v>
      </c>
      <c r="D532" s="223" t="s">
        <v>54</v>
      </c>
      <c r="E532" s="29" t="s">
        <v>2645</v>
      </c>
      <c r="F532" s="31" t="s">
        <v>67</v>
      </c>
    </row>
    <row r="533" spans="1:95" x14ac:dyDescent="0.25">
      <c r="A533" s="446">
        <v>42888</v>
      </c>
      <c r="B533" s="445" t="s">
        <v>12</v>
      </c>
      <c r="C533" s="438" t="s">
        <v>3205</v>
      </c>
      <c r="D533" s="16" t="s">
        <v>54</v>
      </c>
      <c r="E533" s="41" t="s">
        <v>2645</v>
      </c>
      <c r="F533" s="24" t="s">
        <v>67</v>
      </c>
      <c r="G533" s="424"/>
      <c r="BX533" s="11"/>
    </row>
    <row r="534" spans="1:95" x14ac:dyDescent="0.25">
      <c r="A534" s="14"/>
      <c r="B534" s="445" t="s">
        <v>12</v>
      </c>
      <c r="C534" s="425" t="s">
        <v>3206</v>
      </c>
      <c r="D534" s="223" t="s">
        <v>54</v>
      </c>
      <c r="E534" s="29" t="s">
        <v>2645</v>
      </c>
      <c r="F534" s="31" t="s">
        <v>67</v>
      </c>
    </row>
    <row r="535" spans="1:95" x14ac:dyDescent="0.25">
      <c r="A535" s="444">
        <v>42629</v>
      </c>
      <c r="B535" s="445" t="s">
        <v>12</v>
      </c>
      <c r="C535" s="410" t="s">
        <v>3207</v>
      </c>
      <c r="D535" s="16" t="s">
        <v>106</v>
      </c>
      <c r="E535" s="16" t="s">
        <v>3208</v>
      </c>
      <c r="F535" s="24" t="s">
        <v>3209</v>
      </c>
      <c r="G535" s="419"/>
      <c r="BV535" s="11"/>
      <c r="BW535" s="11"/>
      <c r="BX535" s="11"/>
    </row>
    <row r="536" spans="1:95" x14ac:dyDescent="0.25">
      <c r="A536" s="444">
        <v>42629</v>
      </c>
      <c r="B536" s="445" t="s">
        <v>12</v>
      </c>
      <c r="C536" s="410" t="s">
        <v>3210</v>
      </c>
      <c r="D536" s="16" t="s">
        <v>106</v>
      </c>
      <c r="E536" s="16" t="s">
        <v>3208</v>
      </c>
      <c r="F536" s="24" t="s">
        <v>3211</v>
      </c>
      <c r="G536" s="419"/>
      <c r="BV536" s="11"/>
      <c r="BW536" s="11"/>
      <c r="BX536" s="11"/>
    </row>
    <row r="537" spans="1:95" x14ac:dyDescent="0.25">
      <c r="A537" s="446">
        <v>43035</v>
      </c>
      <c r="B537" s="445" t="s">
        <v>12</v>
      </c>
      <c r="C537" s="423" t="s">
        <v>3212</v>
      </c>
      <c r="D537" s="16" t="s">
        <v>54</v>
      </c>
      <c r="E537" s="41" t="s">
        <v>2644</v>
      </c>
      <c r="F537" s="24" t="s">
        <v>67</v>
      </c>
      <c r="G537" s="424"/>
      <c r="BX537" s="11"/>
    </row>
    <row r="538" spans="1:95" x14ac:dyDescent="0.25">
      <c r="A538" s="14"/>
      <c r="B538" s="445" t="s">
        <v>12</v>
      </c>
      <c r="C538" s="425" t="s">
        <v>3213</v>
      </c>
      <c r="D538" s="223" t="s">
        <v>3214</v>
      </c>
      <c r="E538" s="29" t="s">
        <v>3215</v>
      </c>
      <c r="F538" s="31" t="s">
        <v>67</v>
      </c>
    </row>
    <row r="539" spans="1:95" x14ac:dyDescent="0.25">
      <c r="A539" s="14"/>
      <c r="B539" s="445" t="s">
        <v>12</v>
      </c>
      <c r="C539" s="425" t="s">
        <v>3216</v>
      </c>
      <c r="D539" s="223" t="s">
        <v>54</v>
      </c>
      <c r="E539" s="29" t="s">
        <v>3217</v>
      </c>
      <c r="F539" s="31" t="s">
        <v>67</v>
      </c>
    </row>
    <row r="540" spans="1:95" x14ac:dyDescent="0.25">
      <c r="A540" s="443">
        <v>43234</v>
      </c>
      <c r="B540" s="445" t="s">
        <v>12</v>
      </c>
      <c r="C540" s="420" t="s">
        <v>3218</v>
      </c>
      <c r="D540" s="16" t="s">
        <v>54</v>
      </c>
      <c r="E540" s="41" t="s">
        <v>3217</v>
      </c>
      <c r="F540" s="24" t="s">
        <v>67</v>
      </c>
      <c r="G540" s="452"/>
    </row>
    <row r="541" spans="1:95" x14ac:dyDescent="0.25">
      <c r="A541" s="14"/>
      <c r="B541" s="445" t="s">
        <v>12</v>
      </c>
      <c r="C541" s="425" t="s">
        <v>3219</v>
      </c>
      <c r="D541" s="223" t="s">
        <v>106</v>
      </c>
      <c r="E541" s="29" t="s">
        <v>3217</v>
      </c>
      <c r="F541" s="31" t="s">
        <v>67</v>
      </c>
      <c r="G541" s="449"/>
    </row>
    <row r="542" spans="1:95" s="11" customFormat="1" x14ac:dyDescent="0.25">
      <c r="A542" s="393">
        <v>43553</v>
      </c>
      <c r="B542" s="456" t="s">
        <v>12</v>
      </c>
      <c r="C542" s="411" t="s">
        <v>3241</v>
      </c>
      <c r="D542" s="456" t="s">
        <v>54</v>
      </c>
      <c r="E542" s="4" t="s">
        <v>2649</v>
      </c>
      <c r="F542" s="459" t="s">
        <v>67</v>
      </c>
      <c r="G542" s="12"/>
      <c r="I542" s="86"/>
      <c r="K542" s="460"/>
      <c r="L542" s="422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</row>
    <row r="543" spans="1:95" s="11" customFormat="1" ht="15.75" x14ac:dyDescent="0.25">
      <c r="A543" s="393">
        <v>43553</v>
      </c>
      <c r="B543" s="456" t="s">
        <v>12</v>
      </c>
      <c r="C543" s="425" t="s">
        <v>3242</v>
      </c>
      <c r="D543" s="456" t="s">
        <v>54</v>
      </c>
      <c r="E543" s="461" t="s">
        <v>2970</v>
      </c>
      <c r="F543" s="31" t="s">
        <v>67</v>
      </c>
      <c r="G543" s="419"/>
      <c r="I543" s="86"/>
      <c r="K543" s="86"/>
      <c r="L543" s="422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</row>
    <row r="544" spans="1:95" s="11" customFormat="1" x14ac:dyDescent="0.25">
      <c r="A544" s="393">
        <v>43553</v>
      </c>
      <c r="B544" s="456" t="s">
        <v>12</v>
      </c>
      <c r="C544" s="463" t="s">
        <v>3243</v>
      </c>
      <c r="D544" s="456" t="s">
        <v>54</v>
      </c>
      <c r="E544" s="16" t="s">
        <v>2649</v>
      </c>
      <c r="F544" s="31" t="s">
        <v>67</v>
      </c>
      <c r="G544" s="419"/>
      <c r="I544" s="86"/>
      <c r="K544" s="86"/>
      <c r="L544" s="422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</row>
    <row r="545" spans="1:95" s="11" customFormat="1" x14ac:dyDescent="0.25">
      <c r="A545" s="393">
        <v>43553</v>
      </c>
      <c r="B545" s="456" t="s">
        <v>12</v>
      </c>
      <c r="C545" s="463" t="s">
        <v>3244</v>
      </c>
      <c r="D545" s="456" t="s">
        <v>54</v>
      </c>
      <c r="E545" s="16" t="s">
        <v>2649</v>
      </c>
      <c r="F545" s="31" t="s">
        <v>67</v>
      </c>
      <c r="G545" s="419"/>
      <c r="I545" s="86"/>
      <c r="K545" s="86"/>
      <c r="L545" s="422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</row>
    <row r="546" spans="1:95" s="11" customFormat="1" x14ac:dyDescent="0.25">
      <c r="A546" s="393">
        <v>43553</v>
      </c>
      <c r="B546" s="456" t="s">
        <v>12</v>
      </c>
      <c r="C546" s="463" t="s">
        <v>3245</v>
      </c>
      <c r="D546" s="456" t="s">
        <v>54</v>
      </c>
      <c r="E546" s="16" t="s">
        <v>3248</v>
      </c>
      <c r="F546" s="31" t="s">
        <v>67</v>
      </c>
      <c r="G546" s="419"/>
      <c r="I546" s="86"/>
      <c r="K546" s="86"/>
      <c r="L546" s="422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</row>
    <row r="547" spans="1:95" x14ac:dyDescent="0.25">
      <c r="A547" s="393">
        <v>43553</v>
      </c>
      <c r="B547" s="456" t="s">
        <v>12</v>
      </c>
      <c r="C547" s="425" t="s">
        <v>3246</v>
      </c>
      <c r="D547" s="456" t="s">
        <v>54</v>
      </c>
      <c r="E547" s="16" t="s">
        <v>2646</v>
      </c>
      <c r="F547" s="31" t="s">
        <v>67</v>
      </c>
      <c r="G547" s="419"/>
      <c r="I547" s="11"/>
    </row>
    <row r="548" spans="1:95" x14ac:dyDescent="0.25">
      <c r="A548" s="393">
        <v>43553</v>
      </c>
      <c r="B548" s="456" t="s">
        <v>12</v>
      </c>
      <c r="C548" s="39" t="s">
        <v>3249</v>
      </c>
      <c r="D548" s="456" t="s">
        <v>54</v>
      </c>
      <c r="E548" s="16" t="s">
        <v>3109</v>
      </c>
      <c r="F548" s="31" t="s">
        <v>67</v>
      </c>
      <c r="G548" s="462"/>
      <c r="I548" s="11"/>
    </row>
    <row r="549" spans="1:95" x14ac:dyDescent="0.25">
      <c r="A549" s="393">
        <v>43553</v>
      </c>
      <c r="B549" s="456" t="s">
        <v>12</v>
      </c>
      <c r="C549" s="39" t="s">
        <v>3250</v>
      </c>
      <c r="D549" s="456" t="s">
        <v>54</v>
      </c>
      <c r="E549" s="16" t="s">
        <v>2645</v>
      </c>
      <c r="F549" s="31" t="s">
        <v>67</v>
      </c>
      <c r="G549" s="462"/>
      <c r="I549" s="11"/>
    </row>
    <row r="550" spans="1:95" x14ac:dyDescent="0.25">
      <c r="A550" s="393">
        <v>43553</v>
      </c>
      <c r="B550" s="456" t="s">
        <v>12</v>
      </c>
      <c r="C550" s="410" t="s">
        <v>3251</v>
      </c>
      <c r="D550" s="456" t="s">
        <v>54</v>
      </c>
      <c r="E550" s="16" t="s">
        <v>2646</v>
      </c>
      <c r="F550" s="31" t="s">
        <v>67</v>
      </c>
      <c r="G550" s="462"/>
      <c r="I550" s="11"/>
    </row>
    <row r="551" spans="1:95" x14ac:dyDescent="0.25">
      <c r="A551" s="393">
        <v>43553</v>
      </c>
      <c r="B551" s="456" t="s">
        <v>12</v>
      </c>
      <c r="C551" s="39" t="s">
        <v>3252</v>
      </c>
      <c r="D551" s="456" t="s">
        <v>54</v>
      </c>
      <c r="E551" s="16" t="s">
        <v>3109</v>
      </c>
      <c r="F551" s="31" t="s">
        <v>67</v>
      </c>
      <c r="G551" s="419"/>
      <c r="I551" s="11"/>
    </row>
    <row r="552" spans="1:95" x14ac:dyDescent="0.25">
      <c r="A552" s="393">
        <v>43553</v>
      </c>
      <c r="B552" s="456" t="s">
        <v>12</v>
      </c>
      <c r="C552" s="410" t="s">
        <v>3253</v>
      </c>
      <c r="D552" s="456" t="s">
        <v>54</v>
      </c>
      <c r="E552" s="16" t="s">
        <v>2657</v>
      </c>
      <c r="F552" s="31" t="s">
        <v>67</v>
      </c>
      <c r="G552" s="462"/>
      <c r="I552" s="11"/>
    </row>
    <row r="553" spans="1:95" x14ac:dyDescent="0.25">
      <c r="A553" s="393">
        <v>43553</v>
      </c>
      <c r="B553" s="456" t="s">
        <v>12</v>
      </c>
      <c r="C553" s="410" t="s">
        <v>3254</v>
      </c>
      <c r="D553" s="456" t="s">
        <v>54</v>
      </c>
      <c r="E553" s="16" t="s">
        <v>2898</v>
      </c>
      <c r="F553" s="31" t="s">
        <v>67</v>
      </c>
      <c r="G553" s="419"/>
      <c r="I553" s="11"/>
    </row>
    <row r="554" spans="1:95" x14ac:dyDescent="0.25">
      <c r="A554" s="393">
        <v>43553</v>
      </c>
      <c r="B554" s="456" t="s">
        <v>12</v>
      </c>
      <c r="C554" s="39" t="s">
        <v>3255</v>
      </c>
      <c r="D554" s="456" t="s">
        <v>54</v>
      </c>
      <c r="E554" s="16" t="s">
        <v>2898</v>
      </c>
      <c r="F554" s="31" t="s">
        <v>67</v>
      </c>
      <c r="G554" s="419"/>
      <c r="I554" s="11"/>
    </row>
    <row r="555" spans="1:95" x14ac:dyDescent="0.25">
      <c r="A555" s="393">
        <v>43553</v>
      </c>
      <c r="B555" s="456" t="s">
        <v>12</v>
      </c>
      <c r="C555" s="410" t="s">
        <v>3256</v>
      </c>
      <c r="D555" s="456" t="s">
        <v>54</v>
      </c>
      <c r="E555" s="16" t="s">
        <v>2649</v>
      </c>
      <c r="F555" s="31" t="s">
        <v>67</v>
      </c>
      <c r="G555" s="419"/>
      <c r="I555" s="11"/>
    </row>
    <row r="556" spans="1:95" x14ac:dyDescent="0.25">
      <c r="A556" s="393">
        <v>43553</v>
      </c>
      <c r="B556" s="456" t="s">
        <v>12</v>
      </c>
      <c r="C556" s="39" t="s">
        <v>3257</v>
      </c>
      <c r="D556" s="456" t="s">
        <v>54</v>
      </c>
      <c r="E556" s="16" t="s">
        <v>2657</v>
      </c>
      <c r="F556" s="31" t="s">
        <v>67</v>
      </c>
      <c r="G556" s="419"/>
      <c r="I556" s="11"/>
    </row>
    <row r="557" spans="1:95" x14ac:dyDescent="0.25">
      <c r="A557" s="393">
        <v>43553</v>
      </c>
      <c r="B557" s="456" t="s">
        <v>12</v>
      </c>
      <c r="C557" s="410" t="s">
        <v>3258</v>
      </c>
      <c r="D557" s="456" t="s">
        <v>54</v>
      </c>
      <c r="E557" s="16" t="s">
        <v>2645</v>
      </c>
      <c r="F557" s="31" t="s">
        <v>67</v>
      </c>
      <c r="G557" s="419"/>
      <c r="I557" s="11"/>
    </row>
    <row r="558" spans="1:95" x14ac:dyDescent="0.25">
      <c r="A558" s="393">
        <v>43553</v>
      </c>
      <c r="B558" s="456" t="s">
        <v>12</v>
      </c>
      <c r="C558" s="39" t="s">
        <v>2854</v>
      </c>
      <c r="D558" s="456" t="s">
        <v>54</v>
      </c>
      <c r="E558" s="16" t="s">
        <v>2846</v>
      </c>
      <c r="F558" s="31" t="s">
        <v>67</v>
      </c>
      <c r="G558" s="419"/>
      <c r="I558" s="11"/>
    </row>
    <row r="559" spans="1:95" x14ac:dyDescent="0.25">
      <c r="A559" s="393">
        <v>43553</v>
      </c>
      <c r="B559" s="456" t="s">
        <v>12</v>
      </c>
      <c r="C559" s="39" t="s">
        <v>3259</v>
      </c>
      <c r="D559" s="456" t="s">
        <v>54</v>
      </c>
      <c r="E559" s="16" t="s">
        <v>2494</v>
      </c>
      <c r="F559" s="31" t="s">
        <v>67</v>
      </c>
      <c r="G559" s="419"/>
      <c r="I559" s="11"/>
    </row>
    <row r="560" spans="1:95" x14ac:dyDescent="0.25">
      <c r="A560" s="393">
        <v>43553</v>
      </c>
      <c r="B560" s="456" t="s">
        <v>12</v>
      </c>
      <c r="C560" s="39" t="s">
        <v>3260</v>
      </c>
      <c r="D560" s="456" t="s">
        <v>54</v>
      </c>
      <c r="E560" s="16" t="s">
        <v>2898</v>
      </c>
      <c r="F560" s="31" t="s">
        <v>67</v>
      </c>
      <c r="G560" s="419"/>
      <c r="I560" s="11"/>
    </row>
    <row r="561" spans="1:9" x14ac:dyDescent="0.25">
      <c r="A561" s="393">
        <v>43553</v>
      </c>
      <c r="B561" s="456" t="s">
        <v>12</v>
      </c>
      <c r="C561" s="39" t="s">
        <v>3261</v>
      </c>
      <c r="D561" s="456" t="s">
        <v>54</v>
      </c>
      <c r="E561" s="16" t="s">
        <v>2644</v>
      </c>
      <c r="F561" s="31" t="s">
        <v>67</v>
      </c>
      <c r="G561" s="419"/>
      <c r="I561" s="11"/>
    </row>
    <row r="562" spans="1:9" x14ac:dyDescent="0.25">
      <c r="A562" s="393">
        <v>43553</v>
      </c>
      <c r="B562" s="456" t="s">
        <v>12</v>
      </c>
      <c r="C562" s="39" t="s">
        <v>3262</v>
      </c>
      <c r="D562" s="456" t="s">
        <v>54</v>
      </c>
      <c r="E562" s="16" t="s">
        <v>2494</v>
      </c>
      <c r="F562" s="31" t="s">
        <v>67</v>
      </c>
      <c r="G562" s="419"/>
      <c r="I562" s="11"/>
    </row>
    <row r="563" spans="1:9" x14ac:dyDescent="0.25">
      <c r="A563" s="393">
        <v>43553</v>
      </c>
      <c r="B563" s="456" t="s">
        <v>12</v>
      </c>
      <c r="C563" s="410" t="s">
        <v>3263</v>
      </c>
      <c r="D563" s="456" t="s">
        <v>54</v>
      </c>
      <c r="E563" s="16" t="s">
        <v>2494</v>
      </c>
      <c r="F563" s="31" t="s">
        <v>67</v>
      </c>
      <c r="G563" s="419"/>
      <c r="I563" s="11"/>
    </row>
    <row r="564" spans="1:9" x14ac:dyDescent="0.25">
      <c r="A564" s="393">
        <v>43553</v>
      </c>
      <c r="B564" s="456" t="s">
        <v>12</v>
      </c>
      <c r="C564" s="410" t="s">
        <v>3264</v>
      </c>
      <c r="D564" s="456" t="s">
        <v>54</v>
      </c>
      <c r="E564" s="16" t="s">
        <v>3265</v>
      </c>
      <c r="F564" s="31" t="s">
        <v>67</v>
      </c>
      <c r="G564" s="419"/>
      <c r="I564" s="11"/>
    </row>
    <row r="565" spans="1:9" x14ac:dyDescent="0.25">
      <c r="A565" s="393">
        <v>43553</v>
      </c>
      <c r="B565" s="456" t="s">
        <v>12</v>
      </c>
      <c r="C565" s="410" t="s">
        <v>3266</v>
      </c>
      <c r="D565" s="456" t="s">
        <v>54</v>
      </c>
      <c r="E565" s="16" t="s">
        <v>2494</v>
      </c>
      <c r="F565" s="31" t="s">
        <v>67</v>
      </c>
      <c r="G565" s="462"/>
      <c r="I565" s="11"/>
    </row>
    <row r="566" spans="1:9" x14ac:dyDescent="0.25">
      <c r="A566" s="393">
        <v>43553</v>
      </c>
      <c r="B566" s="456" t="s">
        <v>12</v>
      </c>
      <c r="C566" s="410" t="s">
        <v>3267</v>
      </c>
      <c r="D566" s="456" t="s">
        <v>54</v>
      </c>
      <c r="E566" s="16" t="s">
        <v>2494</v>
      </c>
      <c r="F566" s="31" t="s">
        <v>67</v>
      </c>
      <c r="G566" s="419"/>
      <c r="I566" s="11"/>
    </row>
    <row r="567" spans="1:9" x14ac:dyDescent="0.25">
      <c r="A567" s="393">
        <v>43553</v>
      </c>
      <c r="B567" s="456" t="s">
        <v>12</v>
      </c>
      <c r="C567" s="410" t="s">
        <v>3268</v>
      </c>
      <c r="D567" s="456" t="s">
        <v>54</v>
      </c>
      <c r="E567" s="16" t="s">
        <v>2648</v>
      </c>
      <c r="F567" s="31" t="s">
        <v>67</v>
      </c>
      <c r="G567" s="419"/>
      <c r="I567" s="11"/>
    </row>
    <row r="568" spans="1:9" x14ac:dyDescent="0.25">
      <c r="A568" s="393">
        <v>43553</v>
      </c>
      <c r="B568" s="456" t="s">
        <v>12</v>
      </c>
      <c r="C568" s="410" t="s">
        <v>2439</v>
      </c>
      <c r="D568" s="456" t="s">
        <v>54</v>
      </c>
      <c r="E568" s="16" t="s">
        <v>2440</v>
      </c>
      <c r="F568" s="31" t="s">
        <v>67</v>
      </c>
      <c r="G568" s="419"/>
      <c r="I568" s="11"/>
    </row>
    <row r="569" spans="1:9" x14ac:dyDescent="0.25">
      <c r="A569" s="393">
        <v>43553</v>
      </c>
      <c r="B569" s="456" t="s">
        <v>12</v>
      </c>
      <c r="C569" s="39" t="s">
        <v>2924</v>
      </c>
      <c r="D569" s="456" t="s">
        <v>54</v>
      </c>
      <c r="E569" s="16" t="s">
        <v>2649</v>
      </c>
      <c r="F569" s="31" t="s">
        <v>67</v>
      </c>
      <c r="G569" s="462"/>
      <c r="I569" s="11"/>
    </row>
    <row r="570" spans="1:9" x14ac:dyDescent="0.25">
      <c r="A570" s="393">
        <v>43553</v>
      </c>
      <c r="B570" s="456" t="s">
        <v>12</v>
      </c>
      <c r="C570" s="410" t="s">
        <v>3269</v>
      </c>
      <c r="D570" s="456" t="s">
        <v>54</v>
      </c>
      <c r="E570" s="16" t="s">
        <v>2655</v>
      </c>
      <c r="F570" s="31" t="s">
        <v>67</v>
      </c>
      <c r="G570" s="462"/>
      <c r="I570" s="11"/>
    </row>
    <row r="571" spans="1:9" x14ac:dyDescent="0.25">
      <c r="A571" s="393">
        <v>43553</v>
      </c>
      <c r="B571" s="456" t="s">
        <v>12</v>
      </c>
      <c r="C571" s="410" t="s">
        <v>2931</v>
      </c>
      <c r="D571" s="456" t="s">
        <v>54</v>
      </c>
      <c r="E571" s="16" t="s">
        <v>2649</v>
      </c>
      <c r="F571" s="31" t="s">
        <v>67</v>
      </c>
      <c r="G571" s="462"/>
      <c r="I571" s="11"/>
    </row>
    <row r="572" spans="1:9" x14ac:dyDescent="0.25">
      <c r="A572" s="393">
        <v>43553</v>
      </c>
      <c r="B572" s="456" t="s">
        <v>12</v>
      </c>
      <c r="C572" s="410" t="s">
        <v>3270</v>
      </c>
      <c r="D572" s="456" t="s">
        <v>54</v>
      </c>
      <c r="E572" s="16" t="s">
        <v>2876</v>
      </c>
      <c r="F572" s="31" t="s">
        <v>67</v>
      </c>
      <c r="G572" s="419"/>
      <c r="I572" s="11"/>
    </row>
    <row r="573" spans="1:9" x14ac:dyDescent="0.25">
      <c r="A573" s="393">
        <v>43553</v>
      </c>
      <c r="B573" s="456" t="s">
        <v>12</v>
      </c>
      <c r="C573" s="39" t="s">
        <v>3271</v>
      </c>
      <c r="D573" s="456" t="s">
        <v>54</v>
      </c>
      <c r="E573" s="16" t="s">
        <v>2649</v>
      </c>
      <c r="F573" s="31" t="s">
        <v>67</v>
      </c>
      <c r="G573" s="462"/>
      <c r="I573" s="11"/>
    </row>
    <row r="574" spans="1:9" x14ac:dyDescent="0.25">
      <c r="A574" s="393">
        <v>43553</v>
      </c>
      <c r="B574" s="456" t="s">
        <v>12</v>
      </c>
      <c r="C574" s="410" t="s">
        <v>3272</v>
      </c>
      <c r="D574" s="456" t="s">
        <v>54</v>
      </c>
      <c r="E574" s="16" t="s">
        <v>3070</v>
      </c>
      <c r="F574" s="31" t="s">
        <v>67</v>
      </c>
      <c r="G574" s="419"/>
      <c r="I574" s="11"/>
    </row>
    <row r="575" spans="1:9" x14ac:dyDescent="0.25">
      <c r="A575" s="393">
        <v>43553</v>
      </c>
      <c r="B575" s="456" t="s">
        <v>12</v>
      </c>
      <c r="C575" s="39" t="s">
        <v>3273</v>
      </c>
      <c r="D575" s="456" t="s">
        <v>54</v>
      </c>
      <c r="E575" s="16" t="s">
        <v>2652</v>
      </c>
      <c r="F575" s="31" t="s">
        <v>67</v>
      </c>
      <c r="G575" s="419"/>
      <c r="I575" s="11"/>
    </row>
    <row r="576" spans="1:9" x14ac:dyDescent="0.25">
      <c r="A576" s="393">
        <v>43553</v>
      </c>
      <c r="B576" s="456" t="s">
        <v>12</v>
      </c>
      <c r="C576" s="410" t="s">
        <v>3274</v>
      </c>
      <c r="D576" s="456" t="s">
        <v>54</v>
      </c>
      <c r="E576" s="16" t="s">
        <v>2649</v>
      </c>
      <c r="F576" s="31" t="s">
        <v>67</v>
      </c>
      <c r="G576" s="419"/>
      <c r="I576" s="11"/>
    </row>
    <row r="577" spans="1:9" x14ac:dyDescent="0.25">
      <c r="A577" s="393">
        <v>43553</v>
      </c>
      <c r="B577" s="456" t="s">
        <v>12</v>
      </c>
      <c r="C577" s="39" t="s">
        <v>3275</v>
      </c>
      <c r="D577" s="456" t="s">
        <v>54</v>
      </c>
      <c r="E577" s="16" t="s">
        <v>2649</v>
      </c>
      <c r="F577" s="31" t="s">
        <v>67</v>
      </c>
      <c r="G577" s="419"/>
      <c r="I577" s="11"/>
    </row>
    <row r="578" spans="1:9" x14ac:dyDescent="0.25">
      <c r="A578" s="393">
        <v>43553</v>
      </c>
      <c r="B578" s="456" t="s">
        <v>12</v>
      </c>
      <c r="C578" s="410" t="s">
        <v>3276</v>
      </c>
      <c r="D578" s="456" t="s">
        <v>54</v>
      </c>
      <c r="E578" s="16" t="s">
        <v>3277</v>
      </c>
      <c r="F578" s="31" t="s">
        <v>67</v>
      </c>
      <c r="G578" s="419"/>
      <c r="I578" s="11"/>
    </row>
    <row r="579" spans="1:9" x14ac:dyDescent="0.25">
      <c r="A579" s="393">
        <v>43553</v>
      </c>
      <c r="B579" s="456" t="s">
        <v>12</v>
      </c>
      <c r="C579" s="410" t="s">
        <v>3278</v>
      </c>
      <c r="D579" s="456" t="s">
        <v>54</v>
      </c>
      <c r="E579" s="16" t="s">
        <v>3277</v>
      </c>
      <c r="F579" s="31" t="s">
        <v>67</v>
      </c>
      <c r="G579" s="419"/>
      <c r="I579" s="11"/>
    </row>
    <row r="580" spans="1:9" x14ac:dyDescent="0.25">
      <c r="A580" s="393">
        <v>43553</v>
      </c>
      <c r="B580" s="456" t="s">
        <v>12</v>
      </c>
      <c r="C580" s="39" t="s">
        <v>3279</v>
      </c>
      <c r="D580" s="456" t="s">
        <v>54</v>
      </c>
      <c r="E580" s="16" t="s">
        <v>2649</v>
      </c>
      <c r="F580" s="31" t="s">
        <v>67</v>
      </c>
      <c r="G580" s="419"/>
      <c r="I580" s="11"/>
    </row>
    <row r="581" spans="1:9" x14ac:dyDescent="0.25">
      <c r="A581" s="393">
        <v>43553</v>
      </c>
      <c r="B581" s="456" t="s">
        <v>12</v>
      </c>
      <c r="C581" s="410" t="s">
        <v>3280</v>
      </c>
      <c r="D581" s="456" t="s">
        <v>54</v>
      </c>
      <c r="E581" s="16" t="s">
        <v>2649</v>
      </c>
      <c r="F581" s="31" t="s">
        <v>67</v>
      </c>
      <c r="G581" s="462"/>
      <c r="I581" s="11"/>
    </row>
    <row r="582" spans="1:9" x14ac:dyDescent="0.25">
      <c r="A582" s="393">
        <v>43553</v>
      </c>
      <c r="B582" s="456" t="s">
        <v>12</v>
      </c>
      <c r="C582" s="39" t="s">
        <v>2998</v>
      </c>
      <c r="D582" s="456" t="s">
        <v>54</v>
      </c>
      <c r="E582" s="16" t="s">
        <v>2649</v>
      </c>
      <c r="F582" s="31" t="s">
        <v>67</v>
      </c>
      <c r="G582" s="419"/>
      <c r="I582" s="11"/>
    </row>
    <row r="583" spans="1:9" x14ac:dyDescent="0.25">
      <c r="A583" s="393">
        <v>43553</v>
      </c>
      <c r="B583" s="456" t="s">
        <v>12</v>
      </c>
      <c r="C583" s="410" t="s">
        <v>3281</v>
      </c>
      <c r="D583" s="456" t="s">
        <v>54</v>
      </c>
      <c r="E583" s="16" t="s">
        <v>2649</v>
      </c>
      <c r="F583" s="31" t="s">
        <v>67</v>
      </c>
      <c r="I583" s="11"/>
    </row>
    <row r="584" spans="1:9" x14ac:dyDescent="0.25">
      <c r="A584" s="393">
        <v>43553</v>
      </c>
      <c r="B584" s="456" t="s">
        <v>12</v>
      </c>
      <c r="C584" s="39" t="s">
        <v>3282</v>
      </c>
      <c r="D584" s="456" t="s">
        <v>54</v>
      </c>
      <c r="E584" s="16" t="s">
        <v>2898</v>
      </c>
      <c r="F584" s="31" t="s">
        <v>67</v>
      </c>
      <c r="G584" s="419"/>
      <c r="I584" s="11"/>
    </row>
    <row r="585" spans="1:9" x14ac:dyDescent="0.25">
      <c r="A585" s="393">
        <v>43553</v>
      </c>
      <c r="B585" s="456" t="s">
        <v>12</v>
      </c>
      <c r="C585" s="39" t="s">
        <v>3283</v>
      </c>
      <c r="D585" s="456" t="s">
        <v>54</v>
      </c>
      <c r="E585" s="16" t="s">
        <v>952</v>
      </c>
      <c r="F585" s="31" t="s">
        <v>67</v>
      </c>
      <c r="G585" s="419"/>
      <c r="I585" s="11"/>
    </row>
    <row r="586" spans="1:9" x14ac:dyDescent="0.25">
      <c r="A586" s="393">
        <v>43553</v>
      </c>
      <c r="B586" s="456" t="s">
        <v>12</v>
      </c>
      <c r="C586" s="410" t="s">
        <v>3284</v>
      </c>
      <c r="D586" s="456" t="s">
        <v>54</v>
      </c>
      <c r="E586" s="16" t="s">
        <v>2898</v>
      </c>
      <c r="F586" s="31" t="s">
        <v>67</v>
      </c>
      <c r="G586" s="419"/>
      <c r="I586" s="11"/>
    </row>
    <row r="587" spans="1:9" x14ac:dyDescent="0.25">
      <c r="A587" s="393">
        <v>43553</v>
      </c>
      <c r="B587" s="456" t="s">
        <v>12</v>
      </c>
      <c r="C587" s="39" t="s">
        <v>3285</v>
      </c>
      <c r="D587" s="456" t="s">
        <v>54</v>
      </c>
      <c r="E587" s="16" t="s">
        <v>2649</v>
      </c>
      <c r="F587" s="31" t="s">
        <v>67</v>
      </c>
      <c r="G587" s="419"/>
      <c r="I587" s="11"/>
    </row>
    <row r="588" spans="1:9" x14ac:dyDescent="0.25">
      <c r="A588" s="393">
        <v>43553</v>
      </c>
      <c r="B588" s="456" t="s">
        <v>12</v>
      </c>
      <c r="C588" s="39" t="s">
        <v>3286</v>
      </c>
      <c r="D588" s="456" t="s">
        <v>54</v>
      </c>
      <c r="E588" s="16" t="s">
        <v>2649</v>
      </c>
      <c r="F588" s="31" t="s">
        <v>67</v>
      </c>
      <c r="G588" s="419"/>
      <c r="I588" s="11"/>
    </row>
    <row r="589" spans="1:9" x14ac:dyDescent="0.25">
      <c r="A589" s="393">
        <v>43553</v>
      </c>
      <c r="B589" s="456" t="s">
        <v>12</v>
      </c>
      <c r="C589" s="39" t="s">
        <v>3082</v>
      </c>
      <c r="D589" s="456" t="s">
        <v>54</v>
      </c>
      <c r="E589" s="16" t="s">
        <v>2898</v>
      </c>
      <c r="F589" s="31" t="s">
        <v>67</v>
      </c>
      <c r="G589" s="419"/>
      <c r="I589" s="11"/>
    </row>
    <row r="590" spans="1:9" x14ac:dyDescent="0.25">
      <c r="A590" s="393">
        <v>43553</v>
      </c>
      <c r="B590" s="456" t="s">
        <v>12</v>
      </c>
      <c r="C590" s="410" t="s">
        <v>3287</v>
      </c>
      <c r="D590" s="456" t="s">
        <v>54</v>
      </c>
      <c r="E590" s="16" t="s">
        <v>2652</v>
      </c>
      <c r="F590" s="31" t="s">
        <v>67</v>
      </c>
      <c r="G590" s="419"/>
      <c r="I590" s="11"/>
    </row>
    <row r="591" spans="1:9" x14ac:dyDescent="0.25">
      <c r="A591" s="393">
        <v>43553</v>
      </c>
      <c r="B591" s="456" t="s">
        <v>12</v>
      </c>
      <c r="C591" s="39" t="s">
        <v>3288</v>
      </c>
      <c r="D591" s="456" t="s">
        <v>54</v>
      </c>
      <c r="E591" s="16" t="s">
        <v>2826</v>
      </c>
      <c r="F591" s="31" t="s">
        <v>67</v>
      </c>
      <c r="G591" s="462"/>
      <c r="I591" s="11"/>
    </row>
    <row r="592" spans="1:9" x14ac:dyDescent="0.25">
      <c r="A592" s="393">
        <v>43553</v>
      </c>
      <c r="B592" s="456" t="s">
        <v>12</v>
      </c>
      <c r="C592" s="39" t="s">
        <v>3289</v>
      </c>
      <c r="D592" s="456" t="s">
        <v>54</v>
      </c>
      <c r="E592" s="16" t="s">
        <v>3109</v>
      </c>
      <c r="F592" s="31" t="s">
        <v>67</v>
      </c>
      <c r="G592" s="462"/>
      <c r="I592" s="11"/>
    </row>
    <row r="593" spans="1:9" x14ac:dyDescent="0.25">
      <c r="A593" s="393">
        <v>43553</v>
      </c>
      <c r="B593" s="456" t="s">
        <v>12</v>
      </c>
      <c r="C593" s="410" t="s">
        <v>3290</v>
      </c>
      <c r="D593" s="456" t="s">
        <v>54</v>
      </c>
      <c r="E593" s="16" t="s">
        <v>2644</v>
      </c>
      <c r="F593" s="31" t="s">
        <v>67</v>
      </c>
      <c r="G593" s="462"/>
      <c r="I593" s="11"/>
    </row>
    <row r="594" spans="1:9" x14ac:dyDescent="0.25">
      <c r="A594" s="393">
        <v>43553</v>
      </c>
      <c r="B594" s="456" t="s">
        <v>12</v>
      </c>
      <c r="C594" s="410" t="s">
        <v>3123</v>
      </c>
      <c r="D594" s="456" t="s">
        <v>54</v>
      </c>
      <c r="E594" s="16" t="s">
        <v>2644</v>
      </c>
      <c r="F594" s="31" t="s">
        <v>67</v>
      </c>
      <c r="G594" s="462"/>
      <c r="I594" s="11"/>
    </row>
    <row r="595" spans="1:9" x14ac:dyDescent="0.25">
      <c r="A595" s="393">
        <v>43553</v>
      </c>
      <c r="B595" s="456" t="s">
        <v>12</v>
      </c>
      <c r="C595" s="410" t="s">
        <v>3291</v>
      </c>
      <c r="D595" s="456" t="s">
        <v>54</v>
      </c>
      <c r="E595" s="16" t="s">
        <v>2657</v>
      </c>
      <c r="F595" s="31" t="s">
        <v>67</v>
      </c>
      <c r="G595" s="462"/>
      <c r="I595" s="11"/>
    </row>
    <row r="596" spans="1:9" x14ac:dyDescent="0.25">
      <c r="A596" s="393">
        <v>43553</v>
      </c>
      <c r="B596" s="456" t="s">
        <v>12</v>
      </c>
      <c r="C596" s="410" t="s">
        <v>3292</v>
      </c>
      <c r="D596" s="456" t="s">
        <v>54</v>
      </c>
      <c r="E596" s="16" t="s">
        <v>2657</v>
      </c>
      <c r="F596" s="31" t="s">
        <v>67</v>
      </c>
      <c r="G596" s="462"/>
      <c r="I596" s="11"/>
    </row>
    <row r="597" spans="1:9" x14ac:dyDescent="0.25">
      <c r="A597" s="393">
        <v>43553</v>
      </c>
      <c r="B597" s="456" t="s">
        <v>12</v>
      </c>
      <c r="C597" s="410" t="s">
        <v>3293</v>
      </c>
      <c r="D597" s="456" t="s">
        <v>54</v>
      </c>
      <c r="E597" s="16" t="s">
        <v>2657</v>
      </c>
      <c r="F597" s="31" t="s">
        <v>67</v>
      </c>
      <c r="G597" s="462"/>
      <c r="I597" s="11"/>
    </row>
    <row r="598" spans="1:9" x14ac:dyDescent="0.25">
      <c r="A598" s="393">
        <v>43553</v>
      </c>
      <c r="B598" s="456" t="s">
        <v>12</v>
      </c>
      <c r="C598" s="410" t="s">
        <v>3294</v>
      </c>
      <c r="D598" s="456" t="s">
        <v>54</v>
      </c>
      <c r="E598" s="16" t="s">
        <v>2657</v>
      </c>
      <c r="F598" s="31" t="s">
        <v>67</v>
      </c>
      <c r="G598" s="462"/>
      <c r="I598" s="11"/>
    </row>
    <row r="599" spans="1:9" x14ac:dyDescent="0.25">
      <c r="A599" s="393">
        <v>43553</v>
      </c>
      <c r="B599" s="456" t="s">
        <v>12</v>
      </c>
      <c r="C599" s="410" t="s">
        <v>3295</v>
      </c>
      <c r="D599" s="456" t="s">
        <v>54</v>
      </c>
      <c r="E599" s="16" t="s">
        <v>2657</v>
      </c>
      <c r="F599" s="31" t="s">
        <v>67</v>
      </c>
      <c r="G599" s="462"/>
      <c r="I599" s="11"/>
    </row>
    <row r="600" spans="1:9" x14ac:dyDescent="0.25">
      <c r="A600" s="393">
        <v>43553</v>
      </c>
      <c r="B600" s="456" t="s">
        <v>12</v>
      </c>
      <c r="C600" s="410" t="s">
        <v>3296</v>
      </c>
      <c r="D600" s="456" t="s">
        <v>54</v>
      </c>
      <c r="E600" s="16" t="s">
        <v>2657</v>
      </c>
      <c r="F600" s="31" t="s">
        <v>67</v>
      </c>
      <c r="G600" s="462"/>
      <c r="I600" s="11"/>
    </row>
    <row r="601" spans="1:9" x14ac:dyDescent="0.25">
      <c r="A601" s="393">
        <v>43553</v>
      </c>
      <c r="B601" s="456" t="s">
        <v>12</v>
      </c>
      <c r="C601" s="410" t="s">
        <v>3297</v>
      </c>
      <c r="D601" s="456" t="s">
        <v>54</v>
      </c>
      <c r="E601" s="16" t="s">
        <v>2657</v>
      </c>
      <c r="F601" s="31" t="s">
        <v>67</v>
      </c>
      <c r="G601" s="462"/>
      <c r="I601" s="11"/>
    </row>
    <row r="602" spans="1:9" x14ac:dyDescent="0.25">
      <c r="A602" s="393">
        <v>43553</v>
      </c>
      <c r="B602" s="456" t="s">
        <v>12</v>
      </c>
      <c r="C602" s="410" t="s">
        <v>3298</v>
      </c>
      <c r="D602" s="456" t="s">
        <v>54</v>
      </c>
      <c r="E602" s="16" t="s">
        <v>2657</v>
      </c>
      <c r="F602" s="31" t="s">
        <v>67</v>
      </c>
      <c r="G602" s="462"/>
      <c r="I602" s="11"/>
    </row>
    <row r="603" spans="1:9" x14ac:dyDescent="0.25">
      <c r="A603" s="393">
        <v>43553</v>
      </c>
      <c r="B603" s="456" t="s">
        <v>12</v>
      </c>
      <c r="C603" s="410" t="s">
        <v>3299</v>
      </c>
      <c r="D603" s="456" t="s">
        <v>54</v>
      </c>
      <c r="E603" s="16" t="s">
        <v>2657</v>
      </c>
      <c r="F603" s="31" t="s">
        <v>67</v>
      </c>
      <c r="G603" s="462"/>
      <c r="I603" s="11"/>
    </row>
    <row r="604" spans="1:9" x14ac:dyDescent="0.25">
      <c r="A604" s="393">
        <v>43553</v>
      </c>
      <c r="B604" s="456" t="s">
        <v>12</v>
      </c>
      <c r="C604" s="410" t="s">
        <v>3300</v>
      </c>
      <c r="D604" s="456" t="s">
        <v>54</v>
      </c>
      <c r="E604" s="16" t="s">
        <v>2657</v>
      </c>
      <c r="F604" s="31" t="s">
        <v>67</v>
      </c>
      <c r="G604" s="462"/>
      <c r="I604" s="11"/>
    </row>
    <row r="605" spans="1:9" x14ac:dyDescent="0.25">
      <c r="A605" s="393">
        <v>43553</v>
      </c>
      <c r="B605" s="456" t="s">
        <v>12</v>
      </c>
      <c r="C605" s="410" t="s">
        <v>3301</v>
      </c>
      <c r="D605" s="456" t="s">
        <v>54</v>
      </c>
      <c r="E605" s="16" t="s">
        <v>2657</v>
      </c>
      <c r="F605" s="31" t="s">
        <v>67</v>
      </c>
      <c r="G605" s="462"/>
      <c r="I605" s="11"/>
    </row>
    <row r="606" spans="1:9" x14ac:dyDescent="0.25">
      <c r="A606" s="393">
        <v>43553</v>
      </c>
      <c r="B606" s="456" t="s">
        <v>12</v>
      </c>
      <c r="C606" s="410" t="s">
        <v>3302</v>
      </c>
      <c r="D606" s="456" t="s">
        <v>54</v>
      </c>
      <c r="E606" s="16" t="s">
        <v>2657</v>
      </c>
      <c r="F606" s="31" t="s">
        <v>67</v>
      </c>
      <c r="G606" s="462"/>
      <c r="I606" s="11"/>
    </row>
    <row r="607" spans="1:9" x14ac:dyDescent="0.25">
      <c r="A607" s="393">
        <v>43553</v>
      </c>
      <c r="B607" s="456" t="s">
        <v>12</v>
      </c>
      <c r="C607" s="410" t="s">
        <v>3303</v>
      </c>
      <c r="D607" s="456" t="s">
        <v>54</v>
      </c>
      <c r="E607" s="16" t="s">
        <v>2657</v>
      </c>
      <c r="F607" s="31" t="s">
        <v>67</v>
      </c>
      <c r="G607" s="462"/>
      <c r="I607" s="11"/>
    </row>
    <row r="608" spans="1:9" x14ac:dyDescent="0.25">
      <c r="A608" s="393">
        <v>43553</v>
      </c>
      <c r="B608" s="456" t="s">
        <v>12</v>
      </c>
      <c r="C608" s="410" t="s">
        <v>3304</v>
      </c>
      <c r="D608" s="456" t="s">
        <v>54</v>
      </c>
      <c r="E608" s="16" t="s">
        <v>2657</v>
      </c>
      <c r="F608" s="31" t="s">
        <v>67</v>
      </c>
      <c r="G608" s="431"/>
      <c r="I608" s="11"/>
    </row>
    <row r="609" spans="1:9" x14ac:dyDescent="0.25">
      <c r="A609" s="393">
        <v>43553</v>
      </c>
      <c r="B609" s="456" t="s">
        <v>12</v>
      </c>
      <c r="C609" s="410" t="s">
        <v>3305</v>
      </c>
      <c r="D609" s="456" t="s">
        <v>54</v>
      </c>
      <c r="E609" s="16" t="s">
        <v>2657</v>
      </c>
      <c r="F609" s="31" t="s">
        <v>67</v>
      </c>
      <c r="G609" s="462"/>
      <c r="I609" s="11"/>
    </row>
    <row r="610" spans="1:9" x14ac:dyDescent="0.25">
      <c r="A610" s="393">
        <v>43553</v>
      </c>
      <c r="B610" s="456" t="s">
        <v>12</v>
      </c>
      <c r="C610" s="410" t="s">
        <v>3306</v>
      </c>
      <c r="D610" s="456" t="s">
        <v>54</v>
      </c>
      <c r="E610" s="16" t="s">
        <v>2657</v>
      </c>
      <c r="F610" s="31" t="s">
        <v>67</v>
      </c>
      <c r="G610" s="431"/>
      <c r="I610" s="11"/>
    </row>
    <row r="611" spans="1:9" x14ac:dyDescent="0.25">
      <c r="A611" s="393">
        <v>43553</v>
      </c>
      <c r="B611" s="456" t="s">
        <v>12</v>
      </c>
      <c r="C611" s="410" t="s">
        <v>3307</v>
      </c>
      <c r="D611" s="456" t="s">
        <v>54</v>
      </c>
      <c r="E611" s="16" t="s">
        <v>2657</v>
      </c>
      <c r="F611" s="31" t="s">
        <v>67</v>
      </c>
      <c r="I611" s="11"/>
    </row>
    <row r="612" spans="1:9" x14ac:dyDescent="0.25">
      <c r="A612" s="393">
        <v>43553</v>
      </c>
      <c r="B612" s="456" t="s">
        <v>12</v>
      </c>
      <c r="C612" s="410" t="s">
        <v>3308</v>
      </c>
      <c r="D612" s="456" t="s">
        <v>54</v>
      </c>
      <c r="E612" s="16" t="s">
        <v>2657</v>
      </c>
      <c r="F612" s="31" t="s">
        <v>67</v>
      </c>
      <c r="I612" s="11"/>
    </row>
    <row r="613" spans="1:9" x14ac:dyDescent="0.25">
      <c r="A613" s="393">
        <v>43553</v>
      </c>
      <c r="B613" s="456" t="s">
        <v>12</v>
      </c>
      <c r="C613" s="410" t="s">
        <v>3309</v>
      </c>
      <c r="D613" s="456" t="s">
        <v>54</v>
      </c>
      <c r="E613" s="16" t="s">
        <v>2657</v>
      </c>
      <c r="F613" s="31" t="s">
        <v>67</v>
      </c>
      <c r="I613" s="11"/>
    </row>
    <row r="614" spans="1:9" x14ac:dyDescent="0.25">
      <c r="A614" s="393">
        <v>43553</v>
      </c>
      <c r="B614" s="456" t="s">
        <v>12</v>
      </c>
      <c r="C614" s="410" t="s">
        <v>3310</v>
      </c>
      <c r="D614" s="456" t="s">
        <v>54</v>
      </c>
      <c r="E614" s="16" t="s">
        <v>2657</v>
      </c>
      <c r="F614" s="31" t="s">
        <v>67</v>
      </c>
      <c r="I614" s="11"/>
    </row>
    <row r="615" spans="1:9" x14ac:dyDescent="0.25">
      <c r="A615" s="393">
        <v>43553</v>
      </c>
      <c r="B615" s="456" t="s">
        <v>12</v>
      </c>
      <c r="C615" s="410" t="s">
        <v>3311</v>
      </c>
      <c r="D615" s="456" t="s">
        <v>54</v>
      </c>
      <c r="E615" s="16" t="s">
        <v>2657</v>
      </c>
      <c r="F615" s="31" t="s">
        <v>67</v>
      </c>
      <c r="I615" s="11"/>
    </row>
    <row r="616" spans="1:9" x14ac:dyDescent="0.25">
      <c r="A616" s="393">
        <v>43553</v>
      </c>
      <c r="B616" s="456" t="s">
        <v>12</v>
      </c>
      <c r="C616" s="410" t="s">
        <v>3312</v>
      </c>
      <c r="D616" s="456" t="s">
        <v>54</v>
      </c>
      <c r="E616" s="16" t="s">
        <v>2657</v>
      </c>
      <c r="F616" s="31" t="s">
        <v>67</v>
      </c>
      <c r="I616" s="11"/>
    </row>
    <row r="617" spans="1:9" x14ac:dyDescent="0.25">
      <c r="A617" s="393">
        <v>43553</v>
      </c>
      <c r="B617" s="456" t="s">
        <v>12</v>
      </c>
      <c r="C617" s="410" t="s">
        <v>3313</v>
      </c>
      <c r="D617" s="456" t="s">
        <v>54</v>
      </c>
      <c r="E617" s="16" t="s">
        <v>2657</v>
      </c>
      <c r="F617" s="31" t="s">
        <v>67</v>
      </c>
      <c r="I617" s="11"/>
    </row>
    <row r="618" spans="1:9" x14ac:dyDescent="0.25">
      <c r="A618" s="393">
        <v>43553</v>
      </c>
      <c r="B618" s="456" t="s">
        <v>12</v>
      </c>
      <c r="C618" s="410" t="s">
        <v>3314</v>
      </c>
      <c r="D618" s="456" t="s">
        <v>54</v>
      </c>
      <c r="E618" s="16" t="s">
        <v>2657</v>
      </c>
      <c r="F618" s="31" t="s">
        <v>67</v>
      </c>
      <c r="I618" s="11"/>
    </row>
    <row r="619" spans="1:9" x14ac:dyDescent="0.25">
      <c r="A619" s="393">
        <v>43553</v>
      </c>
      <c r="B619" s="456" t="s">
        <v>12</v>
      </c>
      <c r="C619" s="410" t="s">
        <v>3315</v>
      </c>
      <c r="D619" s="456" t="s">
        <v>54</v>
      </c>
      <c r="E619" s="16" t="s">
        <v>2657</v>
      </c>
      <c r="F619" s="31" t="s">
        <v>67</v>
      </c>
      <c r="I619" s="11"/>
    </row>
    <row r="620" spans="1:9" x14ac:dyDescent="0.25">
      <c r="A620" s="393">
        <v>43553</v>
      </c>
      <c r="B620" s="456" t="s">
        <v>12</v>
      </c>
      <c r="C620" s="410" t="s">
        <v>3316</v>
      </c>
      <c r="D620" s="456" t="s">
        <v>54</v>
      </c>
      <c r="E620" s="16" t="s">
        <v>2657</v>
      </c>
      <c r="F620" s="31" t="s">
        <v>67</v>
      </c>
      <c r="I620" s="11"/>
    </row>
    <row r="621" spans="1:9" x14ac:dyDescent="0.25">
      <c r="A621" s="393">
        <v>43553</v>
      </c>
      <c r="B621" s="456" t="s">
        <v>12</v>
      </c>
      <c r="C621" s="410" t="s">
        <v>3317</v>
      </c>
      <c r="D621" s="456" t="s">
        <v>54</v>
      </c>
      <c r="E621" s="16" t="s">
        <v>2657</v>
      </c>
      <c r="F621" s="31" t="s">
        <v>67</v>
      </c>
      <c r="I621" s="11"/>
    </row>
    <row r="622" spans="1:9" x14ac:dyDescent="0.25">
      <c r="A622" s="393">
        <v>43553</v>
      </c>
      <c r="B622" s="456" t="s">
        <v>12</v>
      </c>
      <c r="C622" s="410" t="s">
        <v>3183</v>
      </c>
      <c r="D622" s="456" t="s">
        <v>54</v>
      </c>
      <c r="E622" s="16" t="s">
        <v>2645</v>
      </c>
      <c r="F622" s="31" t="s">
        <v>67</v>
      </c>
      <c r="I622" s="11"/>
    </row>
    <row r="623" spans="1:9" x14ac:dyDescent="0.25">
      <c r="A623" s="393">
        <v>43553</v>
      </c>
      <c r="B623" s="456" t="s">
        <v>12</v>
      </c>
      <c r="C623" s="410" t="s">
        <v>3318</v>
      </c>
      <c r="D623" s="456" t="s">
        <v>54</v>
      </c>
      <c r="E623" s="16" t="s">
        <v>2645</v>
      </c>
      <c r="F623" s="31" t="s">
        <v>67</v>
      </c>
      <c r="I623" s="11"/>
    </row>
    <row r="624" spans="1:9" x14ac:dyDescent="0.25">
      <c r="A624" s="393">
        <v>43553</v>
      </c>
      <c r="B624" s="456" t="s">
        <v>12</v>
      </c>
      <c r="C624" s="410" t="s">
        <v>3319</v>
      </c>
      <c r="D624" s="456" t="s">
        <v>54</v>
      </c>
      <c r="E624" s="16" t="s">
        <v>2645</v>
      </c>
      <c r="F624" s="31" t="s">
        <v>67</v>
      </c>
      <c r="I624" s="11"/>
    </row>
    <row r="625" spans="1:9" x14ac:dyDescent="0.25">
      <c r="A625" s="393">
        <v>43553</v>
      </c>
      <c r="B625" s="456" t="s">
        <v>12</v>
      </c>
      <c r="C625" s="39" t="s">
        <v>3320</v>
      </c>
      <c r="D625" s="456" t="s">
        <v>54</v>
      </c>
      <c r="E625" s="16" t="s">
        <v>2645</v>
      </c>
      <c r="F625" s="31" t="s">
        <v>67</v>
      </c>
      <c r="I625" s="11"/>
    </row>
    <row r="626" spans="1:9" x14ac:dyDescent="0.25">
      <c r="A626" s="393">
        <v>43553</v>
      </c>
      <c r="B626" s="456" t="s">
        <v>12</v>
      </c>
      <c r="C626" s="410" t="s">
        <v>3321</v>
      </c>
      <c r="D626" s="456" t="s">
        <v>54</v>
      </c>
      <c r="E626" s="16" t="s">
        <v>2645</v>
      </c>
      <c r="F626" s="31" t="s">
        <v>67</v>
      </c>
      <c r="I626" s="11"/>
    </row>
    <row r="627" spans="1:9" x14ac:dyDescent="0.25">
      <c r="A627" s="393">
        <v>43553</v>
      </c>
      <c r="B627" s="456" t="s">
        <v>12</v>
      </c>
      <c r="C627" s="410" t="s">
        <v>3322</v>
      </c>
      <c r="D627" s="456" t="s">
        <v>54</v>
      </c>
      <c r="E627" s="16" t="s">
        <v>2645</v>
      </c>
      <c r="F627" s="31" t="s">
        <v>67</v>
      </c>
      <c r="I627" s="11"/>
    </row>
  </sheetData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March 29, 2019</vt:lpstr>
      <vt:lpstr>Historical Recap</vt:lpstr>
      <vt:lpstr>Obsolete</vt:lpstr>
      <vt:lpstr>'Historical Recap'!Print_Area</vt:lpstr>
      <vt:lpstr>'March 29, 2019'!Print_Area</vt:lpstr>
      <vt:lpstr>Obsolete!Print_Area</vt:lpstr>
      <vt:lpstr>'Historical Recap'!Print_Titles</vt:lpstr>
      <vt:lpstr>'March 29, 2019'!Print_Titles</vt:lpstr>
      <vt:lpstr>Obsolete!Print_Titles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Rick J. Clay</cp:lastModifiedBy>
  <cp:lastPrinted>2015-03-09T12:08:46Z</cp:lastPrinted>
  <dcterms:created xsi:type="dcterms:W3CDTF">2011-05-02T14:58:46Z</dcterms:created>
  <dcterms:modified xsi:type="dcterms:W3CDTF">2019-03-29T16:13:39Z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