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0" yWindow="75" windowWidth="12120" windowHeight="7380" tabRatio="714"/>
  </bookViews>
  <sheets>
    <sheet name="June 29, 2017" sheetId="55" r:id="rId1"/>
    <sheet name="Historical Recap" sheetId="56" r:id="rId2"/>
    <sheet name="Obsoleted" sheetId="51" r:id="rId3"/>
    <sheet name="Superceded" sheetId="52" r:id="rId4"/>
  </sheets>
  <definedNames>
    <definedName name="_xlnm._FilterDatabase" localSheetId="1" hidden="1">'Historical Recap'!$A$7:$CE$321</definedName>
    <definedName name="_xlnm._FilterDatabase" localSheetId="0" hidden="1">'June 29, 2017'!$A$23:$BY$42</definedName>
    <definedName name="_xlnm._FilterDatabase" localSheetId="2" hidden="1">Obsoleted!$A$1:$C$1</definedName>
    <definedName name="_xlnm.Print_Area" localSheetId="1">'Historical Recap'!$C$206:$N$224</definedName>
    <definedName name="_xlnm.Print_Area" localSheetId="0">'June 29, 2017'!$B$3:$F$8</definedName>
    <definedName name="_xlnm.Print_Titles" localSheetId="1">'Historical Recap'!$1:$205</definedName>
    <definedName name="_xlnm.Print_Titles" localSheetId="0">'June 29, 2017'!$1:$5</definedName>
  </definedNames>
  <calcPr calcId="145621"/>
</workbook>
</file>

<file path=xl/calcChain.xml><?xml version="1.0" encoding="utf-8"?>
<calcChain xmlns="http://schemas.openxmlformats.org/spreadsheetml/2006/main">
  <c r="BQ10" i="56" l="1"/>
  <c r="BL10" i="56"/>
  <c r="BR10" i="56" s="1"/>
  <c r="BI10" i="56"/>
  <c r="BQ9" i="56"/>
  <c r="BL9" i="56"/>
  <c r="BR9" i="56" s="1"/>
  <c r="BI9" i="56"/>
  <c r="BQ8" i="56"/>
  <c r="BL8" i="56"/>
  <c r="BR8" i="56" s="1"/>
  <c r="BI8" i="56"/>
  <c r="BQ8" i="55"/>
  <c r="BL8" i="55"/>
  <c r="BR8" i="55" s="1"/>
  <c r="BI8" i="55"/>
  <c r="BQ7" i="55"/>
  <c r="BL7" i="55"/>
  <c r="BR7" i="55" s="1"/>
  <c r="BI7" i="55"/>
  <c r="BQ6" i="55"/>
  <c r="BL6" i="55"/>
  <c r="BR6" i="55" s="1"/>
  <c r="BI6" i="55"/>
  <c r="BR15" i="56" l="1"/>
  <c r="BQ15" i="56"/>
  <c r="BL15" i="56"/>
  <c r="BI15" i="56"/>
  <c r="BR14" i="56"/>
  <c r="BQ14" i="56"/>
  <c r="BL14" i="56"/>
  <c r="BI14" i="56"/>
  <c r="BR13" i="56"/>
  <c r="BQ13" i="56"/>
  <c r="BL13" i="56"/>
  <c r="BI13" i="56"/>
  <c r="BR12" i="56"/>
  <c r="BQ12" i="56"/>
  <c r="BL12" i="56"/>
  <c r="BI12" i="56"/>
  <c r="BR11" i="56"/>
  <c r="BQ11" i="56"/>
  <c r="BL11" i="56"/>
  <c r="BH11" i="56"/>
  <c r="BG11" i="56"/>
  <c r="BI11" i="56" s="1"/>
  <c r="BF11" i="56"/>
  <c r="BR18" i="56" l="1"/>
  <c r="BQ18" i="56"/>
  <c r="BL18" i="56"/>
  <c r="BK18" i="56"/>
  <c r="BI18" i="56"/>
  <c r="BR17" i="56"/>
  <c r="BQ17" i="56"/>
  <c r="BL17" i="56"/>
  <c r="BK17" i="56"/>
  <c r="BI17" i="56"/>
  <c r="BQ16" i="56"/>
  <c r="BK16" i="56"/>
  <c r="BJ16" i="56"/>
  <c r="BR16" i="56" s="1"/>
  <c r="BI16" i="56"/>
  <c r="BL16" i="56" l="1"/>
  <c r="BR45" i="56" l="1"/>
  <c r="BQ45" i="56"/>
  <c r="BI45" i="56"/>
  <c r="BB45" i="56"/>
  <c r="BA45" i="56"/>
  <c r="BR44" i="56"/>
  <c r="BQ44" i="56"/>
  <c r="BG44" i="56"/>
  <c r="BF44" i="56"/>
  <c r="BC44" i="56"/>
  <c r="BB44" i="56"/>
  <c r="BA44" i="56"/>
  <c r="BR43" i="56"/>
  <c r="BQ43" i="56"/>
  <c r="BH43" i="56"/>
  <c r="BG43" i="56"/>
  <c r="BF43" i="56"/>
  <c r="BC43" i="56"/>
  <c r="BB43" i="56"/>
  <c r="BA43" i="56"/>
  <c r="BR42" i="56"/>
  <c r="BQ42" i="56"/>
  <c r="BH42" i="56"/>
  <c r="BG42" i="56"/>
  <c r="BF42" i="56"/>
  <c r="BC42" i="56"/>
  <c r="BB42" i="56"/>
  <c r="BA42" i="56"/>
  <c r="BR41" i="56"/>
  <c r="BQ41" i="56"/>
  <c r="BI41" i="56"/>
  <c r="BC41" i="56"/>
  <c r="BB41" i="56"/>
  <c r="BA41" i="56"/>
  <c r="BR40" i="56"/>
  <c r="BQ40" i="56"/>
  <c r="BH40" i="56"/>
  <c r="BI40" i="56" s="1"/>
  <c r="BC40" i="56"/>
  <c r="BB40" i="56"/>
  <c r="BA40" i="56"/>
  <c r="BR39" i="56"/>
  <c r="BQ39" i="56"/>
  <c r="BH39" i="56"/>
  <c r="BI39" i="56" s="1"/>
  <c r="BC39" i="56"/>
  <c r="BB39" i="56"/>
  <c r="BA39" i="56"/>
  <c r="BR38" i="56"/>
  <c r="BQ38" i="56"/>
  <c r="BG38" i="56"/>
  <c r="BI38" i="56" s="1"/>
  <c r="BC38" i="56"/>
  <c r="BB38" i="56"/>
  <c r="BA38" i="56"/>
  <c r="BR37" i="56"/>
  <c r="BQ37" i="56"/>
  <c r="BG37" i="56"/>
  <c r="BI37" i="56" s="1"/>
  <c r="BC37" i="56"/>
  <c r="BB37" i="56"/>
  <c r="BA37" i="56"/>
  <c r="BR36" i="56"/>
  <c r="BQ36" i="56"/>
  <c r="BG36" i="56"/>
  <c r="BF36" i="56"/>
  <c r="BC36" i="56"/>
  <c r="BB36" i="56"/>
  <c r="BA36" i="56"/>
  <c r="BR35" i="56"/>
  <c r="BQ35" i="56"/>
  <c r="BF35" i="56"/>
  <c r="BI35" i="56" s="1"/>
  <c r="BC35" i="56"/>
  <c r="BB35" i="56"/>
  <c r="BA35" i="56"/>
  <c r="BR34" i="56"/>
  <c r="BQ34" i="56"/>
  <c r="BF34" i="56"/>
  <c r="BI34" i="56" s="1"/>
  <c r="BC34" i="56"/>
  <c r="BB34" i="56"/>
  <c r="BA34" i="56"/>
  <c r="BR33" i="56"/>
  <c r="BQ33" i="56"/>
  <c r="BI33" i="56"/>
  <c r="BC33" i="56"/>
  <c r="BB33" i="56"/>
  <c r="BA33" i="56"/>
  <c r="BR32" i="56"/>
  <c r="BQ32" i="56"/>
  <c r="BH32" i="56"/>
  <c r="BG32" i="56"/>
  <c r="BF32" i="56"/>
  <c r="BC32" i="56"/>
  <c r="BB32" i="56"/>
  <c r="BA32" i="56"/>
  <c r="BR31" i="56"/>
  <c r="BQ31" i="56"/>
  <c r="BF31" i="56"/>
  <c r="BI31" i="56" s="1"/>
  <c r="BC31" i="56"/>
  <c r="BB31" i="56"/>
  <c r="BA31" i="56"/>
  <c r="BR30" i="56"/>
  <c r="BQ30" i="56"/>
  <c r="BH30" i="56"/>
  <c r="BG30" i="56"/>
  <c r="BF30" i="56"/>
  <c r="BC30" i="56"/>
  <c r="BB30" i="56"/>
  <c r="BA30" i="56"/>
  <c r="BR29" i="56"/>
  <c r="BQ29" i="56"/>
  <c r="BH29" i="56"/>
  <c r="BI29" i="56" s="1"/>
  <c r="BC29" i="56"/>
  <c r="BB29" i="56"/>
  <c r="BA29" i="56"/>
  <c r="BR28" i="56"/>
  <c r="BQ28" i="56"/>
  <c r="BI28" i="56"/>
  <c r="BC28" i="56"/>
  <c r="BB28" i="56"/>
  <c r="BA28" i="56"/>
  <c r="BD45" i="56" l="1"/>
  <c r="BI43" i="56"/>
  <c r="BD38" i="56"/>
  <c r="BD40" i="56"/>
  <c r="BD42" i="56"/>
  <c r="BD43" i="56"/>
  <c r="BD33" i="56"/>
  <c r="BD35" i="56"/>
  <c r="BD37" i="56"/>
  <c r="BD44" i="56"/>
  <c r="BD39" i="56"/>
  <c r="BD41" i="56"/>
  <c r="BI30" i="56"/>
  <c r="BD36" i="56"/>
  <c r="BI42" i="56"/>
  <c r="BD28" i="56"/>
  <c r="BD30" i="56"/>
  <c r="BI32" i="56"/>
  <c r="BI36" i="56"/>
  <c r="BI44" i="56"/>
  <c r="BD29" i="56"/>
  <c r="BD32" i="56"/>
  <c r="BD34" i="56"/>
  <c r="BD31" i="56"/>
  <c r="BR57" i="56"/>
  <c r="BQ57" i="56"/>
  <c r="BH57" i="56"/>
  <c r="BF57" i="56"/>
  <c r="BC57" i="56"/>
  <c r="BB57" i="56"/>
  <c r="BA57" i="56"/>
  <c r="BR56" i="56"/>
  <c r="BQ56" i="56"/>
  <c r="BI56" i="56"/>
  <c r="BC56" i="56"/>
  <c r="BB56" i="56"/>
  <c r="BA56" i="56"/>
  <c r="BR55" i="56"/>
  <c r="BQ55" i="56"/>
  <c r="BH55" i="56"/>
  <c r="BG55" i="56"/>
  <c r="BC55" i="56"/>
  <c r="BB55" i="56"/>
  <c r="BA55" i="56"/>
  <c r="BR54" i="56"/>
  <c r="BQ54" i="56"/>
  <c r="BF54" i="56"/>
  <c r="BI54" i="56" s="1"/>
  <c r="BC54" i="56"/>
  <c r="BB54" i="56"/>
  <c r="BA54" i="56"/>
  <c r="BI53" i="56"/>
  <c r="BD53" i="56"/>
  <c r="BI52" i="56"/>
  <c r="BD52" i="56"/>
  <c r="BI51" i="56"/>
  <c r="BR50" i="56"/>
  <c r="BQ50" i="56"/>
  <c r="BI50" i="56"/>
  <c r="BC50" i="56"/>
  <c r="BB50" i="56"/>
  <c r="BA50" i="56"/>
  <c r="BR49" i="56"/>
  <c r="BQ49" i="56"/>
  <c r="BI49" i="56"/>
  <c r="BC49" i="56"/>
  <c r="BD49" i="56" s="1"/>
  <c r="BR48" i="56"/>
  <c r="BQ48" i="56"/>
  <c r="BF48" i="56"/>
  <c r="BI48" i="56" s="1"/>
  <c r="BC48" i="56"/>
  <c r="BB48" i="56"/>
  <c r="BA48" i="56"/>
  <c r="BR47" i="56"/>
  <c r="BQ47" i="56"/>
  <c r="BI47" i="56"/>
  <c r="BC47" i="56"/>
  <c r="BD47" i="56" s="1"/>
  <c r="BQ46" i="56"/>
  <c r="BR46" i="56" s="1"/>
  <c r="BI46" i="56"/>
  <c r="BD48" i="56" l="1"/>
  <c r="BI55" i="56"/>
  <c r="BD50" i="56"/>
  <c r="BI57" i="56"/>
  <c r="BD55" i="56"/>
  <c r="BD54" i="56"/>
  <c r="BD56" i="56"/>
  <c r="BD57" i="56"/>
  <c r="BQ295" i="56" l="1"/>
  <c r="BR295" i="56" s="1"/>
  <c r="BI295" i="56"/>
  <c r="BD295" i="56"/>
  <c r="BQ294" i="56"/>
  <c r="BR294" i="56" s="1"/>
  <c r="BI294" i="56"/>
  <c r="BD294" i="56"/>
  <c r="BQ293" i="56"/>
  <c r="BR293" i="56" s="1"/>
  <c r="BI293" i="56"/>
  <c r="BD293" i="56"/>
  <c r="BQ292" i="56"/>
  <c r="BR292" i="56" s="1"/>
  <c r="BI292" i="56"/>
  <c r="BD292" i="56"/>
  <c r="BQ291" i="56"/>
  <c r="BR291" i="56" s="1"/>
  <c r="BI291" i="56"/>
  <c r="BD291" i="56"/>
  <c r="BQ290" i="56"/>
  <c r="BR290" i="56" s="1"/>
  <c r="BI290" i="56"/>
  <c r="BD290" i="56"/>
  <c r="BQ289" i="56"/>
  <c r="BR289" i="56" s="1"/>
  <c r="BI289" i="56"/>
  <c r="BD289" i="56"/>
  <c r="BQ288" i="56"/>
  <c r="BR288" i="56" s="1"/>
  <c r="BI288" i="56"/>
  <c r="BD288" i="56"/>
  <c r="BQ287" i="56"/>
  <c r="BR287" i="56" s="1"/>
  <c r="BI287" i="56"/>
  <c r="BD287" i="56"/>
  <c r="BQ286" i="56"/>
  <c r="BR286" i="56" s="1"/>
  <c r="BI286" i="56"/>
  <c r="BD286" i="56"/>
  <c r="BQ285" i="56"/>
  <c r="BR285" i="56" s="1"/>
  <c r="BI285" i="56"/>
  <c r="BD285" i="56"/>
  <c r="BQ284" i="56"/>
  <c r="BR284" i="56" s="1"/>
  <c r="BI284" i="56"/>
  <c r="BD284" i="56"/>
  <c r="BQ283" i="56"/>
  <c r="BR283" i="56" s="1"/>
  <c r="BI283" i="56"/>
  <c r="BD283" i="56"/>
  <c r="BQ282" i="56"/>
  <c r="BR282" i="56" s="1"/>
  <c r="BI282" i="56"/>
  <c r="BD282" i="56"/>
  <c r="BQ281" i="56"/>
  <c r="BR281" i="56" s="1"/>
  <c r="BI281" i="56"/>
  <c r="BD281" i="56"/>
  <c r="BQ278" i="56"/>
  <c r="BR278" i="56" s="1"/>
  <c r="BI278" i="56"/>
  <c r="BD278" i="56"/>
  <c r="BQ277" i="56"/>
  <c r="BR277" i="56" s="1"/>
  <c r="BI277" i="56"/>
  <c r="BD277" i="56"/>
  <c r="BQ276" i="56"/>
  <c r="BJ276" i="56"/>
  <c r="BI276" i="56"/>
  <c r="BQ275" i="56"/>
  <c r="BJ275" i="56"/>
  <c r="BI275" i="56"/>
  <c r="BQ274" i="56"/>
  <c r="BJ274" i="56"/>
  <c r="BR274" i="56" s="1"/>
  <c r="BI274" i="56"/>
  <c r="BR273" i="56"/>
  <c r="BQ273" i="56"/>
  <c r="BI273" i="56"/>
  <c r="BQ272" i="56"/>
  <c r="BJ272" i="56"/>
  <c r="BR272" i="56" s="1"/>
  <c r="BI272" i="56"/>
  <c r="BQ271" i="56"/>
  <c r="BJ271" i="56"/>
  <c r="BR271" i="56" s="1"/>
  <c r="BI271" i="56"/>
  <c r="BR270" i="56"/>
  <c r="BQ270" i="56"/>
  <c r="BI270" i="56"/>
  <c r="BQ269" i="56"/>
  <c r="BJ269" i="56"/>
  <c r="BR269" i="56" s="1"/>
  <c r="BI269" i="56"/>
  <c r="BD269" i="56"/>
  <c r="BQ268" i="56"/>
  <c r="BJ268" i="56"/>
  <c r="BR268" i="56" s="1"/>
  <c r="BI268" i="56"/>
  <c r="BD268" i="56"/>
  <c r="BQ267" i="56"/>
  <c r="BI267" i="56"/>
  <c r="BE267" i="56"/>
  <c r="BJ267" i="56" s="1"/>
  <c r="BR267" i="56" s="1"/>
  <c r="BD267" i="56"/>
  <c r="BQ266" i="56"/>
  <c r="BI266" i="56"/>
  <c r="BE266" i="56"/>
  <c r="BJ266" i="56" s="1"/>
  <c r="BR266" i="56" s="1"/>
  <c r="BD266" i="56"/>
  <c r="BQ265" i="56"/>
  <c r="BI265" i="56"/>
  <c r="BE265" i="56"/>
  <c r="BJ265" i="56" s="1"/>
  <c r="BR265" i="56" s="1"/>
  <c r="BD265" i="56"/>
  <c r="BQ264" i="56"/>
  <c r="BJ264" i="56"/>
  <c r="BR264" i="56" s="1"/>
  <c r="BI264" i="56"/>
  <c r="BR263" i="56"/>
  <c r="BQ263" i="56"/>
  <c r="BI263" i="56"/>
  <c r="BQ262" i="56"/>
  <c r="BJ262" i="56"/>
  <c r="BR262" i="56" s="1"/>
  <c r="BI262" i="56"/>
  <c r="BQ261" i="56"/>
  <c r="BJ261" i="56"/>
  <c r="BR261" i="56" s="1"/>
  <c r="BI261" i="56"/>
  <c r="BR260" i="56"/>
  <c r="BQ260" i="56"/>
  <c r="BI260" i="56"/>
  <c r="BQ259" i="56"/>
  <c r="BJ259" i="56"/>
  <c r="BR259" i="56" s="1"/>
  <c r="BI259" i="56"/>
  <c r="BD259" i="56"/>
  <c r="BQ258" i="56"/>
  <c r="BJ258" i="56"/>
  <c r="BR258" i="56" s="1"/>
  <c r="BI258" i="56"/>
  <c r="BD258" i="56"/>
  <c r="BQ257" i="56"/>
  <c r="BJ257" i="56"/>
  <c r="BR257" i="56" s="1"/>
  <c r="BI257" i="56"/>
  <c r="BD257" i="56"/>
  <c r="BQ256" i="56"/>
  <c r="BJ256" i="56"/>
  <c r="BR256" i="56" s="1"/>
  <c r="BI256" i="56"/>
  <c r="BD256" i="56"/>
  <c r="BQ255" i="56"/>
  <c r="BJ255" i="56"/>
  <c r="BR255" i="56" s="1"/>
  <c r="BI255" i="56"/>
  <c r="BD255" i="56"/>
  <c r="BQ254" i="56"/>
  <c r="BJ254" i="56"/>
  <c r="BR254" i="56" s="1"/>
  <c r="BI254" i="56"/>
  <c r="BD254" i="56"/>
  <c r="BQ253" i="56"/>
  <c r="BJ253" i="56"/>
  <c r="BR253" i="56" s="1"/>
  <c r="BI253" i="56"/>
  <c r="BD253" i="56"/>
  <c r="BQ252" i="56"/>
  <c r="BJ252" i="56"/>
  <c r="BR252" i="56" s="1"/>
  <c r="BI252" i="56"/>
  <c r="BD252" i="56"/>
  <c r="BR251" i="56"/>
  <c r="BQ251" i="56"/>
  <c r="BI251" i="56"/>
  <c r="BQ250" i="56"/>
  <c r="BJ250" i="56"/>
  <c r="BR250" i="56" s="1"/>
  <c r="BI250" i="56"/>
  <c r="BD250" i="56"/>
  <c r="BQ249" i="56"/>
  <c r="BJ249" i="56"/>
  <c r="BR249" i="56" s="1"/>
  <c r="BI249" i="56"/>
  <c r="BD249" i="56"/>
  <c r="BQ248" i="56"/>
  <c r="BJ248" i="56"/>
  <c r="BR248" i="56" s="1"/>
  <c r="BI248" i="56"/>
  <c r="BD248" i="56"/>
  <c r="BQ247" i="56"/>
  <c r="BJ247" i="56"/>
  <c r="BR247" i="56" s="1"/>
  <c r="BI247" i="56"/>
  <c r="BQ246" i="56"/>
  <c r="BJ246" i="56"/>
  <c r="BR246" i="56" s="1"/>
  <c r="BI246" i="56"/>
  <c r="BD246" i="56"/>
  <c r="BR245" i="56"/>
  <c r="BQ245" i="56"/>
  <c r="BI245" i="56"/>
  <c r="BD245" i="56"/>
  <c r="BQ244" i="56"/>
  <c r="BJ244" i="56"/>
  <c r="BR244" i="56" s="1"/>
  <c r="BI244" i="56"/>
  <c r="BR243" i="56"/>
  <c r="BQ243" i="56"/>
  <c r="BI243" i="56"/>
  <c r="BQ242" i="56"/>
  <c r="BJ242" i="56"/>
  <c r="BR242" i="56" s="1"/>
  <c r="BI242" i="56"/>
  <c r="BD242" i="56"/>
  <c r="BQ241" i="56"/>
  <c r="BJ241" i="56"/>
  <c r="BR241" i="56" s="1"/>
  <c r="BI241" i="56"/>
  <c r="BD241" i="56"/>
  <c r="BQ240" i="56"/>
  <c r="BJ240" i="56"/>
  <c r="BR240" i="56" s="1"/>
  <c r="BI240" i="56"/>
  <c r="BD240" i="56"/>
  <c r="BQ239" i="56"/>
  <c r="BJ239" i="56"/>
  <c r="BR239" i="56" s="1"/>
  <c r="BI239" i="56"/>
  <c r="BD239" i="56"/>
  <c r="BR238" i="56"/>
  <c r="BQ238" i="56"/>
  <c r="BI238" i="56"/>
  <c r="BR237" i="56"/>
  <c r="BQ237" i="56"/>
  <c r="BI237" i="56"/>
  <c r="BR236" i="56"/>
  <c r="BQ236" i="56"/>
  <c r="BI236" i="56"/>
  <c r="BR235" i="56"/>
  <c r="BQ235" i="56"/>
  <c r="BI235" i="56"/>
  <c r="BR234" i="56"/>
  <c r="BQ234" i="56"/>
  <c r="BI234" i="56"/>
  <c r="BQ233" i="56"/>
  <c r="BJ233" i="56"/>
  <c r="BR233" i="56" s="1"/>
  <c r="BI233" i="56"/>
  <c r="BD233" i="56"/>
  <c r="BQ232" i="56"/>
  <c r="BI232" i="56"/>
  <c r="BE232" i="56"/>
  <c r="BJ232" i="56" s="1"/>
  <c r="BR232" i="56" s="1"/>
  <c r="BD232" i="56"/>
  <c r="BQ231" i="56"/>
  <c r="BJ231" i="56"/>
  <c r="BR231" i="56" s="1"/>
  <c r="BI231" i="56"/>
  <c r="BD231" i="56"/>
  <c r="BR230" i="56"/>
  <c r="BQ230" i="56"/>
  <c r="BI230" i="56"/>
  <c r="BQ229" i="56"/>
  <c r="BJ229" i="56"/>
  <c r="BR229" i="56" s="1"/>
  <c r="BI229" i="56"/>
  <c r="BD229" i="56"/>
  <c r="BQ228" i="56"/>
  <c r="BJ228" i="56"/>
  <c r="BR228" i="56" s="1"/>
  <c r="BI228" i="56"/>
  <c r="BD228" i="56"/>
  <c r="BQ227" i="56"/>
  <c r="BJ227" i="56"/>
  <c r="BR227" i="56" s="1"/>
  <c r="BI227" i="56"/>
  <c r="BD227" i="56"/>
  <c r="BQ226" i="56"/>
  <c r="BI226" i="56"/>
  <c r="BE226" i="56"/>
  <c r="BJ226" i="56" s="1"/>
  <c r="BR226" i="56" s="1"/>
  <c r="BD226" i="56"/>
  <c r="BQ225" i="56"/>
  <c r="BJ225" i="56"/>
  <c r="BR225" i="56" s="1"/>
  <c r="BI225" i="56"/>
  <c r="BQ224" i="56"/>
  <c r="BJ224" i="56"/>
  <c r="BR224" i="56" s="1"/>
  <c r="BI224" i="56"/>
  <c r="BD224" i="56"/>
  <c r="BR223" i="56"/>
  <c r="BQ223" i="56"/>
  <c r="BI223" i="56"/>
  <c r="BQ222" i="56"/>
  <c r="BJ222" i="56"/>
  <c r="BR222" i="56" s="1"/>
  <c r="BI222" i="56"/>
  <c r="BQ221" i="56"/>
  <c r="BJ221" i="56"/>
  <c r="BR221" i="56" s="1"/>
  <c r="BI221" i="56"/>
  <c r="BQ220" i="56"/>
  <c r="BJ220" i="56"/>
  <c r="BR220" i="56" s="1"/>
  <c r="BI220" i="56"/>
  <c r="BQ219" i="56"/>
  <c r="BJ219" i="56"/>
  <c r="BR219" i="56" s="1"/>
  <c r="BI219" i="56"/>
  <c r="BQ218" i="56"/>
  <c r="BJ218" i="56"/>
  <c r="BR218" i="56" s="1"/>
  <c r="BI218" i="56"/>
  <c r="BD218" i="56"/>
  <c r="BQ217" i="56"/>
  <c r="BJ217" i="56"/>
  <c r="BR217" i="56" s="1"/>
  <c r="BI217" i="56"/>
  <c r="BD217" i="56"/>
  <c r="BR216" i="56"/>
  <c r="BQ216" i="56"/>
  <c r="BI216" i="56"/>
  <c r="BQ215" i="56"/>
  <c r="BJ215" i="56"/>
  <c r="BR215" i="56" s="1"/>
  <c r="BI215" i="56"/>
  <c r="BD215" i="56"/>
  <c r="BQ214" i="56"/>
  <c r="BJ214" i="56"/>
  <c r="BR214" i="56" s="1"/>
  <c r="BI214" i="56"/>
  <c r="BD214" i="56"/>
  <c r="BQ213" i="56"/>
  <c r="BJ213" i="56"/>
  <c r="BR213" i="56" s="1"/>
  <c r="BI213" i="56"/>
  <c r="BD213" i="56"/>
  <c r="BQ212" i="56"/>
  <c r="BJ212" i="56"/>
  <c r="BR212" i="56" s="1"/>
  <c r="BI212" i="56"/>
  <c r="BQ211" i="56"/>
  <c r="BJ211" i="56"/>
  <c r="BR211" i="56" s="1"/>
  <c r="BI211" i="56"/>
  <c r="BD211" i="56"/>
  <c r="BQ210" i="56"/>
  <c r="BJ210" i="56"/>
  <c r="BR210" i="56" s="1"/>
  <c r="BI210" i="56"/>
  <c r="BQ209" i="56"/>
  <c r="BJ209" i="56"/>
  <c r="BR209" i="56" s="1"/>
  <c r="BI209" i="56"/>
  <c r="BD209" i="56"/>
  <c r="BR208" i="56"/>
  <c r="BQ208" i="56"/>
  <c r="BI208" i="56"/>
  <c r="BR207" i="56"/>
  <c r="BQ207" i="56"/>
  <c r="BI207" i="56"/>
  <c r="BR206" i="56"/>
  <c r="BQ206" i="56"/>
  <c r="BI206" i="56"/>
  <c r="BQ205" i="56"/>
  <c r="BJ205" i="56"/>
  <c r="BR205" i="56" s="1"/>
  <c r="BI205" i="56"/>
  <c r="BD205" i="56"/>
  <c r="BR204" i="56"/>
  <c r="BQ204" i="56"/>
  <c r="BI204" i="56"/>
  <c r="BR203" i="56"/>
  <c r="BQ203" i="56"/>
  <c r="BI203" i="56"/>
  <c r="BQ202" i="56"/>
  <c r="BJ202" i="56"/>
  <c r="BR202" i="56" s="1"/>
  <c r="BI202" i="56"/>
  <c r="BQ201" i="56"/>
  <c r="BJ201" i="56"/>
  <c r="BR201" i="56" s="1"/>
  <c r="BI201" i="56"/>
  <c r="BQ200" i="56"/>
  <c r="BJ200" i="56"/>
  <c r="BR200" i="56" s="1"/>
  <c r="BI200" i="56"/>
  <c r="BQ199" i="56"/>
  <c r="BJ199" i="56"/>
  <c r="BR199" i="56" s="1"/>
  <c r="BI199" i="56"/>
  <c r="BQ198" i="56"/>
  <c r="BJ198" i="56"/>
  <c r="BR198" i="56" s="1"/>
  <c r="BI198" i="56"/>
  <c r="BD198" i="56"/>
  <c r="BQ197" i="56"/>
  <c r="BJ197" i="56"/>
  <c r="BR197" i="56" s="1"/>
  <c r="BI197" i="56"/>
  <c r="BQ196" i="56"/>
  <c r="BJ196" i="56"/>
  <c r="BR196" i="56" s="1"/>
  <c r="BI196" i="56"/>
  <c r="BQ195" i="56"/>
  <c r="BJ195" i="56"/>
  <c r="BR195" i="56" s="1"/>
  <c r="BI195" i="56"/>
  <c r="BQ194" i="56"/>
  <c r="BJ194" i="56"/>
  <c r="BR194" i="56" s="1"/>
  <c r="BI194" i="56"/>
  <c r="BR193" i="56"/>
  <c r="BQ193" i="56"/>
  <c r="BI193" i="56"/>
  <c r="BQ192" i="56"/>
  <c r="BJ192" i="56"/>
  <c r="BR192" i="56" s="1"/>
  <c r="BI192" i="56"/>
  <c r="BQ191" i="56"/>
  <c r="BJ191" i="56"/>
  <c r="BR191" i="56" s="1"/>
  <c r="BI191" i="56"/>
  <c r="BQ190" i="56"/>
  <c r="BJ190" i="56"/>
  <c r="BR190" i="56" s="1"/>
  <c r="BI190" i="56"/>
  <c r="BQ189" i="56"/>
  <c r="BJ189" i="56"/>
  <c r="BR189" i="56" s="1"/>
  <c r="BI189" i="56"/>
  <c r="BQ188" i="56"/>
  <c r="BJ188" i="56"/>
  <c r="BR188" i="56" s="1"/>
  <c r="BI188" i="56"/>
  <c r="BQ187" i="56"/>
  <c r="BJ187" i="56"/>
  <c r="BR187" i="56" s="1"/>
  <c r="BI187" i="56"/>
  <c r="BD187" i="56"/>
  <c r="BQ186" i="56"/>
  <c r="BI186" i="56"/>
  <c r="BR186" i="56" s="1"/>
  <c r="BQ185" i="56"/>
  <c r="BJ185" i="56"/>
  <c r="BR185" i="56" s="1"/>
  <c r="BI185" i="56"/>
  <c r="BD185" i="56"/>
  <c r="BQ184" i="56"/>
  <c r="BJ184" i="56"/>
  <c r="BR184" i="56" s="1"/>
  <c r="BI184" i="56"/>
  <c r="BD184" i="56"/>
  <c r="BQ183" i="56"/>
  <c r="BI183" i="56"/>
  <c r="BE183" i="56"/>
  <c r="BJ183" i="56" s="1"/>
  <c r="BR183" i="56" s="1"/>
  <c r="BD183" i="56"/>
  <c r="BQ182" i="56"/>
  <c r="BJ182" i="56"/>
  <c r="BR182" i="56" s="1"/>
  <c r="BI182" i="56"/>
  <c r="BD182" i="56"/>
  <c r="BQ181" i="56"/>
  <c r="BJ181" i="56"/>
  <c r="BR181" i="56" s="1"/>
  <c r="BI181" i="56"/>
  <c r="BD181" i="56"/>
  <c r="BQ180" i="56"/>
  <c r="BJ180" i="56"/>
  <c r="BR180" i="56" s="1"/>
  <c r="BI180" i="56"/>
  <c r="BD180" i="56"/>
  <c r="BQ179" i="56"/>
  <c r="BJ179" i="56"/>
  <c r="BR179" i="56" s="1"/>
  <c r="BI179" i="56"/>
  <c r="BQ178" i="56"/>
  <c r="BJ178" i="56"/>
  <c r="BR178" i="56" s="1"/>
  <c r="BI178" i="56"/>
  <c r="BR177" i="56"/>
  <c r="BQ177" i="56"/>
  <c r="BI177" i="56"/>
  <c r="BQ176" i="56"/>
  <c r="BJ176" i="56"/>
  <c r="BR176" i="56" s="1"/>
  <c r="BI176" i="56"/>
  <c r="BR173" i="56"/>
  <c r="BQ173" i="56"/>
  <c r="BI173" i="56"/>
  <c r="BQ172" i="56"/>
  <c r="BJ172" i="56"/>
  <c r="BR172" i="56" s="1"/>
  <c r="BI172" i="56"/>
  <c r="BR171" i="56"/>
  <c r="BQ171" i="56"/>
  <c r="BI171" i="56"/>
  <c r="BR170" i="56"/>
  <c r="BQ170" i="56"/>
  <c r="BI170" i="56"/>
  <c r="BQ169" i="56"/>
  <c r="BJ169" i="56"/>
  <c r="BR169" i="56" s="1"/>
  <c r="BI169" i="56"/>
  <c r="BQ168" i="56"/>
  <c r="BJ168" i="56"/>
  <c r="BR168" i="56" s="1"/>
  <c r="BI168" i="56"/>
  <c r="BQ167" i="56"/>
  <c r="BH167" i="56"/>
  <c r="BG167" i="56"/>
  <c r="BF167" i="56"/>
  <c r="BE167" i="56"/>
  <c r="BJ167" i="56" s="1"/>
  <c r="BR167" i="56" s="1"/>
  <c r="BC167" i="56"/>
  <c r="BB167" i="56"/>
  <c r="BA167" i="56"/>
  <c r="BQ166" i="56"/>
  <c r="BH166" i="56"/>
  <c r="BG166" i="56"/>
  <c r="BF166" i="56"/>
  <c r="BE166" i="56"/>
  <c r="BJ166" i="56" s="1"/>
  <c r="BR166" i="56" s="1"/>
  <c r="BC166" i="56"/>
  <c r="BB166" i="56"/>
  <c r="BA166" i="56"/>
  <c r="BQ165" i="56"/>
  <c r="BH165" i="56"/>
  <c r="BG165" i="56"/>
  <c r="BF165" i="56"/>
  <c r="BE165" i="56"/>
  <c r="BJ165" i="56" s="1"/>
  <c r="BR165" i="56" s="1"/>
  <c r="BC165" i="56"/>
  <c r="BB165" i="56"/>
  <c r="BA165" i="56"/>
  <c r="BQ164" i="56"/>
  <c r="BH164" i="56"/>
  <c r="BG164" i="56"/>
  <c r="BF164" i="56"/>
  <c r="BE164" i="56"/>
  <c r="BJ164" i="56" s="1"/>
  <c r="BR164" i="56" s="1"/>
  <c r="BC164" i="56"/>
  <c r="BB164" i="56"/>
  <c r="BA164" i="56"/>
  <c r="BQ163" i="56"/>
  <c r="BH163" i="56"/>
  <c r="BG163" i="56"/>
  <c r="BF163" i="56"/>
  <c r="BE163" i="56"/>
  <c r="BJ163" i="56" s="1"/>
  <c r="BR163" i="56" s="1"/>
  <c r="BQ162" i="56"/>
  <c r="BH162" i="56"/>
  <c r="BG162" i="56"/>
  <c r="BF162" i="56"/>
  <c r="BE162" i="56"/>
  <c r="BJ162" i="56" s="1"/>
  <c r="BR162" i="56" s="1"/>
  <c r="BC162" i="56"/>
  <c r="BB162" i="56"/>
  <c r="BA162" i="56"/>
  <c r="BQ161" i="56"/>
  <c r="BJ161" i="56"/>
  <c r="BR161" i="56" s="1"/>
  <c r="BH161" i="56"/>
  <c r="BG161" i="56"/>
  <c r="BF161" i="56"/>
  <c r="BQ160" i="56"/>
  <c r="BJ160" i="56"/>
  <c r="BR160" i="56" s="1"/>
  <c r="BH160" i="56"/>
  <c r="BG160" i="56"/>
  <c r="BF160" i="56"/>
  <c r="BQ159" i="56"/>
  <c r="BJ159" i="56"/>
  <c r="BR159" i="56" s="1"/>
  <c r="BH159" i="56"/>
  <c r="BG159" i="56"/>
  <c r="BF159" i="56"/>
  <c r="BQ158" i="56"/>
  <c r="BJ158" i="56"/>
  <c r="BR158" i="56" s="1"/>
  <c r="BH158" i="56"/>
  <c r="BG158" i="56"/>
  <c r="BF158" i="56"/>
  <c r="BQ157" i="56"/>
  <c r="BJ157" i="56"/>
  <c r="BR157" i="56" s="1"/>
  <c r="BH157" i="56"/>
  <c r="BG157" i="56"/>
  <c r="BF157" i="56"/>
  <c r="BQ156" i="56"/>
  <c r="BJ156" i="56"/>
  <c r="BR156" i="56" s="1"/>
  <c r="BH156" i="56"/>
  <c r="BG156" i="56"/>
  <c r="BF156" i="56"/>
  <c r="BQ155" i="56"/>
  <c r="BJ155" i="56"/>
  <c r="BR155" i="56" s="1"/>
  <c r="BH155" i="56"/>
  <c r="BG155" i="56"/>
  <c r="BF155" i="56"/>
  <c r="BQ154" i="56"/>
  <c r="BH154" i="56"/>
  <c r="BG154" i="56"/>
  <c r="BF154" i="56"/>
  <c r="BE154" i="56"/>
  <c r="BJ154" i="56" s="1"/>
  <c r="BR154" i="56" s="1"/>
  <c r="BC154" i="56"/>
  <c r="BB154" i="56"/>
  <c r="BA154" i="56"/>
  <c r="BQ153" i="56"/>
  <c r="BH153" i="56"/>
  <c r="BG153" i="56"/>
  <c r="BF153" i="56"/>
  <c r="BE153" i="56"/>
  <c r="BJ153" i="56" s="1"/>
  <c r="BR153" i="56" s="1"/>
  <c r="BC153" i="56"/>
  <c r="BB153" i="56"/>
  <c r="BA153" i="56"/>
  <c r="BQ152" i="56"/>
  <c r="BJ152" i="56"/>
  <c r="BR152" i="56" s="1"/>
  <c r="BH152" i="56"/>
  <c r="BG152" i="56"/>
  <c r="BF152" i="56"/>
  <c r="BQ151" i="56"/>
  <c r="BH151" i="56"/>
  <c r="BG151" i="56"/>
  <c r="BF151" i="56"/>
  <c r="BE151" i="56"/>
  <c r="BJ151" i="56" s="1"/>
  <c r="BR151" i="56" s="1"/>
  <c r="BD151" i="56"/>
  <c r="BQ150" i="56"/>
  <c r="BH150" i="56"/>
  <c r="BG150" i="56"/>
  <c r="BF150" i="56"/>
  <c r="BE150" i="56"/>
  <c r="BJ150" i="56" s="1"/>
  <c r="BR150" i="56" s="1"/>
  <c r="BC150" i="56"/>
  <c r="BB150" i="56"/>
  <c r="BA150" i="56"/>
  <c r="BQ149" i="56"/>
  <c r="BH149" i="56"/>
  <c r="BG149" i="56"/>
  <c r="BF149" i="56"/>
  <c r="BE149" i="56"/>
  <c r="BJ149" i="56" s="1"/>
  <c r="BR149" i="56" s="1"/>
  <c r="BC149" i="56"/>
  <c r="BB149" i="56"/>
  <c r="BA149" i="56"/>
  <c r="BQ148" i="56"/>
  <c r="BH148" i="56"/>
  <c r="BG148" i="56"/>
  <c r="BF148" i="56"/>
  <c r="BE148" i="56"/>
  <c r="BJ148" i="56" s="1"/>
  <c r="BR148" i="56" s="1"/>
  <c r="BC148" i="56"/>
  <c r="BB148" i="56"/>
  <c r="BA148" i="56"/>
  <c r="BQ147" i="56"/>
  <c r="BJ147" i="56"/>
  <c r="BR147" i="56" s="1"/>
  <c r="BH147" i="56"/>
  <c r="BG147" i="56"/>
  <c r="BF147" i="56"/>
  <c r="BQ146" i="56"/>
  <c r="BH146" i="56"/>
  <c r="BG146" i="56"/>
  <c r="BF146" i="56"/>
  <c r="BE146" i="56"/>
  <c r="BJ146" i="56" s="1"/>
  <c r="BR146" i="56" s="1"/>
  <c r="BD146" i="56"/>
  <c r="BQ145" i="56"/>
  <c r="BH145" i="56"/>
  <c r="BG145" i="56"/>
  <c r="BF145" i="56"/>
  <c r="BE145" i="56"/>
  <c r="BJ145" i="56" s="1"/>
  <c r="BR145" i="56" s="1"/>
  <c r="BC145" i="56"/>
  <c r="BB145" i="56"/>
  <c r="BA145" i="56"/>
  <c r="BQ144" i="56"/>
  <c r="BH144" i="56"/>
  <c r="BG144" i="56"/>
  <c r="BF144" i="56"/>
  <c r="BE144" i="56"/>
  <c r="BJ144" i="56" s="1"/>
  <c r="BR144" i="56" s="1"/>
  <c r="BC144" i="56"/>
  <c r="BB144" i="56"/>
  <c r="BA144" i="56"/>
  <c r="BQ143" i="56"/>
  <c r="BH143" i="56"/>
  <c r="BG143" i="56"/>
  <c r="BF143" i="56"/>
  <c r="BE143" i="56"/>
  <c r="BJ143" i="56" s="1"/>
  <c r="BR143" i="56" s="1"/>
  <c r="BD143" i="56"/>
  <c r="BQ142" i="56"/>
  <c r="BJ142" i="56"/>
  <c r="BR142" i="56" s="1"/>
  <c r="BH142" i="56"/>
  <c r="BG142" i="56"/>
  <c r="BF142" i="56"/>
  <c r="BQ128" i="56"/>
  <c r="BJ128" i="56"/>
  <c r="BR128" i="56" s="1"/>
  <c r="BH128" i="56"/>
  <c r="BG128" i="56"/>
  <c r="BF128" i="56"/>
  <c r="BQ127" i="56"/>
  <c r="BH127" i="56"/>
  <c r="BG127" i="56"/>
  <c r="BF127" i="56"/>
  <c r="BE127" i="56"/>
  <c r="BJ127" i="56" s="1"/>
  <c r="BR127" i="56" s="1"/>
  <c r="BC127" i="56"/>
  <c r="BB127" i="56"/>
  <c r="BA127" i="56"/>
  <c r="BQ126" i="56"/>
  <c r="BJ126" i="56"/>
  <c r="BR126" i="56" s="1"/>
  <c r="BH126" i="56"/>
  <c r="BG126" i="56"/>
  <c r="BF126" i="56"/>
  <c r="BQ125" i="56"/>
  <c r="BH125" i="56"/>
  <c r="BG125" i="56"/>
  <c r="BF125" i="56"/>
  <c r="BE125" i="56"/>
  <c r="BJ125" i="56" s="1"/>
  <c r="BR125" i="56" s="1"/>
  <c r="BC125" i="56"/>
  <c r="BB125" i="56"/>
  <c r="BA125" i="56"/>
  <c r="BQ124" i="56"/>
  <c r="BH124" i="56"/>
  <c r="BG124" i="56"/>
  <c r="BF124" i="56"/>
  <c r="BE124" i="56"/>
  <c r="BJ124" i="56" s="1"/>
  <c r="BR124" i="56" s="1"/>
  <c r="BC124" i="56"/>
  <c r="BB124" i="56"/>
  <c r="BA124" i="56"/>
  <c r="BQ123" i="56"/>
  <c r="BH123" i="56"/>
  <c r="BG123" i="56"/>
  <c r="BF123" i="56"/>
  <c r="BE123" i="56"/>
  <c r="BJ123" i="56" s="1"/>
  <c r="BR123" i="56" s="1"/>
  <c r="BC123" i="56"/>
  <c r="BB123" i="56"/>
  <c r="BA123" i="56"/>
  <c r="BQ122" i="56"/>
  <c r="BH122" i="56"/>
  <c r="BG122" i="56"/>
  <c r="BF122" i="56"/>
  <c r="BE122" i="56"/>
  <c r="BJ122" i="56" s="1"/>
  <c r="BR122" i="56" s="1"/>
  <c r="BC122" i="56"/>
  <c r="BB122" i="56"/>
  <c r="BA122" i="56"/>
  <c r="BQ121" i="56"/>
  <c r="BH121" i="56"/>
  <c r="BG121" i="56"/>
  <c r="BF121" i="56"/>
  <c r="BE121" i="56"/>
  <c r="BJ121" i="56" s="1"/>
  <c r="BR121" i="56" s="1"/>
  <c r="BC121" i="56"/>
  <c r="BB121" i="56"/>
  <c r="BA121" i="56"/>
  <c r="BQ120" i="56"/>
  <c r="BH120" i="56"/>
  <c r="BG120" i="56"/>
  <c r="BF120" i="56"/>
  <c r="BE120" i="56"/>
  <c r="BJ120" i="56" s="1"/>
  <c r="BR120" i="56" s="1"/>
  <c r="BC120" i="56"/>
  <c r="BB120" i="56"/>
  <c r="BA120" i="56"/>
  <c r="BQ119" i="56"/>
  <c r="BH119" i="56"/>
  <c r="BG119" i="56"/>
  <c r="BF119" i="56"/>
  <c r="BE119" i="56"/>
  <c r="BJ119" i="56" s="1"/>
  <c r="BR119" i="56" s="1"/>
  <c r="BC119" i="56"/>
  <c r="BB119" i="56"/>
  <c r="BA119" i="56"/>
  <c r="BQ118" i="56"/>
  <c r="BH118" i="56"/>
  <c r="BG118" i="56"/>
  <c r="BF118" i="56"/>
  <c r="BE118" i="56"/>
  <c r="BJ118" i="56" s="1"/>
  <c r="BR118" i="56" s="1"/>
  <c r="BC118" i="56"/>
  <c r="BB118" i="56"/>
  <c r="BA118" i="56"/>
  <c r="BQ117" i="56"/>
  <c r="BH117" i="56"/>
  <c r="BG117" i="56"/>
  <c r="BF117" i="56"/>
  <c r="BE117" i="56"/>
  <c r="BJ117" i="56" s="1"/>
  <c r="BR117" i="56" s="1"/>
  <c r="BC117" i="56"/>
  <c r="BB117" i="56"/>
  <c r="BA117" i="56"/>
  <c r="BQ116" i="56"/>
  <c r="BH116" i="56"/>
  <c r="BG116" i="56"/>
  <c r="BF116" i="56"/>
  <c r="BE116" i="56"/>
  <c r="BJ116" i="56" s="1"/>
  <c r="BR116" i="56" s="1"/>
  <c r="BC116" i="56"/>
  <c r="BB116" i="56"/>
  <c r="BA116" i="56"/>
  <c r="BQ115" i="56"/>
  <c r="BH115" i="56"/>
  <c r="BG115" i="56"/>
  <c r="BF115" i="56"/>
  <c r="BE115" i="56"/>
  <c r="BJ115" i="56" s="1"/>
  <c r="BC115" i="56"/>
  <c r="BB115" i="56"/>
  <c r="BA115" i="56"/>
  <c r="BQ114" i="56"/>
  <c r="BH114" i="56"/>
  <c r="BG114" i="56"/>
  <c r="BF114" i="56"/>
  <c r="BE114" i="56"/>
  <c r="BJ114" i="56" s="1"/>
  <c r="BR114" i="56" s="1"/>
  <c r="BC114" i="56"/>
  <c r="BB114" i="56"/>
  <c r="BA114" i="56"/>
  <c r="BQ113" i="56"/>
  <c r="BH113" i="56"/>
  <c r="BG113" i="56"/>
  <c r="BF113" i="56"/>
  <c r="BE113" i="56"/>
  <c r="BJ113" i="56" s="1"/>
  <c r="BR113" i="56" s="1"/>
  <c r="BC113" i="56"/>
  <c r="BB113" i="56"/>
  <c r="BA113" i="56"/>
  <c r="BQ112" i="56"/>
  <c r="BR112" i="56" s="1"/>
  <c r="BJ112" i="56"/>
  <c r="BH112" i="56"/>
  <c r="BG112" i="56"/>
  <c r="BF112" i="56"/>
  <c r="BQ111" i="56"/>
  <c r="BH111" i="56"/>
  <c r="BG111" i="56"/>
  <c r="BF111" i="56"/>
  <c r="BE111" i="56"/>
  <c r="BC111" i="56"/>
  <c r="BB111" i="56"/>
  <c r="BA111" i="56"/>
  <c r="BQ110" i="56"/>
  <c r="BH110" i="56"/>
  <c r="BG110" i="56"/>
  <c r="BF110" i="56"/>
  <c r="BE110" i="56"/>
  <c r="BJ110" i="56" s="1"/>
  <c r="BR110" i="56" s="1"/>
  <c r="BC110" i="56"/>
  <c r="BB110" i="56"/>
  <c r="BA110" i="56"/>
  <c r="BQ109" i="56"/>
  <c r="BH109" i="56"/>
  <c r="BG109" i="56"/>
  <c r="BF109" i="56"/>
  <c r="BE109" i="56"/>
  <c r="BJ109" i="56" s="1"/>
  <c r="BR109" i="56" s="1"/>
  <c r="BC109" i="56"/>
  <c r="BB109" i="56"/>
  <c r="BA109" i="56"/>
  <c r="BQ108" i="56"/>
  <c r="BH108" i="56"/>
  <c r="BG108" i="56"/>
  <c r="BF108" i="56"/>
  <c r="BE108" i="56"/>
  <c r="BJ108" i="56" s="1"/>
  <c r="BR108" i="56" s="1"/>
  <c r="BC108" i="56"/>
  <c r="BB108" i="56"/>
  <c r="BA108" i="56"/>
  <c r="BQ107" i="56"/>
  <c r="BH107" i="56"/>
  <c r="BG107" i="56"/>
  <c r="BF107" i="56"/>
  <c r="BE107" i="56"/>
  <c r="BJ107" i="56" s="1"/>
  <c r="BR107" i="56" s="1"/>
  <c r="BC107" i="56"/>
  <c r="BB107" i="56"/>
  <c r="BA107" i="56"/>
  <c r="BQ106" i="56"/>
  <c r="BH106" i="56"/>
  <c r="BG106" i="56"/>
  <c r="BF106" i="56"/>
  <c r="BE106" i="56"/>
  <c r="BJ106" i="56" s="1"/>
  <c r="BR106" i="56" s="1"/>
  <c r="BC106" i="56"/>
  <c r="BB106" i="56"/>
  <c r="BA106" i="56"/>
  <c r="BQ105" i="56"/>
  <c r="BH105" i="56"/>
  <c r="BG105" i="56"/>
  <c r="BF105" i="56"/>
  <c r="BE105" i="56"/>
  <c r="BJ105" i="56" s="1"/>
  <c r="BR105" i="56" s="1"/>
  <c r="BC105" i="56"/>
  <c r="BB105" i="56"/>
  <c r="BA105" i="56"/>
  <c r="BQ104" i="56"/>
  <c r="BH104" i="56"/>
  <c r="BG104" i="56"/>
  <c r="BF104" i="56"/>
  <c r="BE104" i="56"/>
  <c r="BJ104" i="56" s="1"/>
  <c r="BR104" i="56" s="1"/>
  <c r="BC104" i="56"/>
  <c r="BB104" i="56"/>
  <c r="BA104" i="56"/>
  <c r="BQ103" i="56"/>
  <c r="BE103" i="56"/>
  <c r="BC103" i="56"/>
  <c r="BB103" i="56"/>
  <c r="BA103" i="56"/>
  <c r="BQ102" i="56"/>
  <c r="BH102" i="56"/>
  <c r="BG102" i="56"/>
  <c r="BF102" i="56"/>
  <c r="BE102" i="56"/>
  <c r="BJ102" i="56" s="1"/>
  <c r="BR102" i="56" s="1"/>
  <c r="BC102" i="56"/>
  <c r="BB102" i="56"/>
  <c r="BA102" i="56"/>
  <c r="BR101" i="56"/>
  <c r="BQ101" i="56"/>
  <c r="BG101" i="56"/>
  <c r="BI101" i="56" s="1"/>
  <c r="BC101" i="56"/>
  <c r="BB101" i="56"/>
  <c r="BA101" i="56"/>
  <c r="BQ100" i="56"/>
  <c r="BI100" i="56"/>
  <c r="BE100" i="56"/>
  <c r="BC100" i="56"/>
  <c r="BB100" i="56"/>
  <c r="BA100" i="56"/>
  <c r="BQ99" i="56"/>
  <c r="BG99" i="56"/>
  <c r="BF99" i="56"/>
  <c r="BE99" i="56"/>
  <c r="BC99" i="56"/>
  <c r="BB99" i="56"/>
  <c r="BA99" i="56"/>
  <c r="BQ97" i="56"/>
  <c r="BI97" i="56"/>
  <c r="BE97" i="56"/>
  <c r="BC97" i="56"/>
  <c r="BB97" i="56"/>
  <c r="BA97" i="56"/>
  <c r="BQ96" i="56"/>
  <c r="BI96" i="56"/>
  <c r="BE96" i="56"/>
  <c r="BC96" i="56"/>
  <c r="BB96" i="56"/>
  <c r="BA96" i="56"/>
  <c r="BQ95" i="56"/>
  <c r="BF95" i="56"/>
  <c r="BI95" i="56" s="1"/>
  <c r="BE95" i="56"/>
  <c r="BC95" i="56"/>
  <c r="BB95" i="56"/>
  <c r="BA95" i="56"/>
  <c r="BQ94" i="56"/>
  <c r="BI94" i="56"/>
  <c r="BE94" i="56"/>
  <c r="BC94" i="56"/>
  <c r="BB94" i="56"/>
  <c r="BA94" i="56"/>
  <c r="BQ93" i="56"/>
  <c r="BI93" i="56"/>
  <c r="BE93" i="56"/>
  <c r="BC93" i="56"/>
  <c r="BB93" i="56"/>
  <c r="BA93" i="56"/>
  <c r="BR92" i="56"/>
  <c r="BQ92" i="56"/>
  <c r="BI92" i="56"/>
  <c r="BC92" i="56"/>
  <c r="BB92" i="56"/>
  <c r="BA92" i="56"/>
  <c r="BQ91" i="56"/>
  <c r="BI91" i="56"/>
  <c r="BE91" i="56"/>
  <c r="BC91" i="56"/>
  <c r="BB91" i="56"/>
  <c r="BA91" i="56"/>
  <c r="BQ90" i="56"/>
  <c r="BI90" i="56"/>
  <c r="BE90" i="56"/>
  <c r="BC90" i="56"/>
  <c r="BB90" i="56"/>
  <c r="BA90" i="56"/>
  <c r="BR89" i="56"/>
  <c r="BQ89" i="56"/>
  <c r="BD89" i="56"/>
  <c r="BQ88" i="56"/>
  <c r="BH88" i="56"/>
  <c r="BG88" i="56"/>
  <c r="BF88" i="56"/>
  <c r="BC88" i="56"/>
  <c r="BB88" i="56"/>
  <c r="BA88" i="56"/>
  <c r="BQ87" i="56"/>
  <c r="BH87" i="56"/>
  <c r="BG87" i="56"/>
  <c r="BF87" i="56"/>
  <c r="BC87" i="56"/>
  <c r="BB87" i="56"/>
  <c r="BA87" i="56"/>
  <c r="BQ86" i="56"/>
  <c r="BJ86" i="56"/>
  <c r="BH86" i="56"/>
  <c r="BG86" i="56"/>
  <c r="BF86" i="56"/>
  <c r="BE86" i="56"/>
  <c r="BC86" i="56"/>
  <c r="BB86" i="56"/>
  <c r="BA86" i="56"/>
  <c r="AZ86" i="56"/>
  <c r="BR86" i="56" s="1"/>
  <c r="BQ85" i="56"/>
  <c r="BH85" i="56"/>
  <c r="BG85" i="56"/>
  <c r="BF85" i="56"/>
  <c r="BE85" i="56"/>
  <c r="BC85" i="56"/>
  <c r="BB85" i="56"/>
  <c r="BA85" i="56"/>
  <c r="AZ85" i="56"/>
  <c r="BR85" i="56" s="1"/>
  <c r="BQ84" i="56"/>
  <c r="BH84" i="56"/>
  <c r="BG84" i="56"/>
  <c r="BF84" i="56"/>
  <c r="BE84" i="56"/>
  <c r="BC84" i="56"/>
  <c r="BB84" i="56"/>
  <c r="BA84" i="56"/>
  <c r="AZ84" i="56"/>
  <c r="BR84" i="56" s="1"/>
  <c r="BQ83" i="56"/>
  <c r="BG83" i="56"/>
  <c r="BF83" i="56"/>
  <c r="BE83" i="56"/>
  <c r="BC83" i="56"/>
  <c r="BB83" i="56"/>
  <c r="BA83" i="56"/>
  <c r="AZ83" i="56"/>
  <c r="BR82" i="56"/>
  <c r="BQ82" i="56"/>
  <c r="BI82" i="56"/>
  <c r="BC82" i="56"/>
  <c r="BB82" i="56"/>
  <c r="BA82" i="56"/>
  <c r="BQ81" i="56"/>
  <c r="BI81" i="56"/>
  <c r="BC81" i="56"/>
  <c r="BA81" i="56"/>
  <c r="AZ81" i="56"/>
  <c r="BR81" i="56" s="1"/>
  <c r="BR80" i="56"/>
  <c r="BQ80" i="56"/>
  <c r="BH80" i="56"/>
  <c r="BI80" i="56" s="1"/>
  <c r="BD80" i="56"/>
  <c r="BR79" i="56"/>
  <c r="BQ79" i="56"/>
  <c r="BI79" i="56"/>
  <c r="BC79" i="56"/>
  <c r="BB79" i="56"/>
  <c r="BA79" i="56"/>
  <c r="BR78" i="56"/>
  <c r="BQ78" i="56"/>
  <c r="BH78" i="56"/>
  <c r="BI78" i="56" s="1"/>
  <c r="BB78" i="56"/>
  <c r="BA78" i="56"/>
  <c r="BR77" i="56"/>
  <c r="BQ77" i="56"/>
  <c r="BI77" i="56"/>
  <c r="BC77" i="56"/>
  <c r="BB77" i="56"/>
  <c r="BA77" i="56"/>
  <c r="BQ76" i="56"/>
  <c r="BI76" i="56"/>
  <c r="BE76" i="56"/>
  <c r="BC76" i="56"/>
  <c r="BB76" i="56"/>
  <c r="BA76" i="56"/>
  <c r="AZ76" i="56"/>
  <c r="BR76" i="56" s="1"/>
  <c r="BQ75" i="56"/>
  <c r="BI75" i="56"/>
  <c r="BE75" i="56"/>
  <c r="BC75" i="56"/>
  <c r="BB75" i="56"/>
  <c r="BA75" i="56"/>
  <c r="AZ75" i="56"/>
  <c r="BR75" i="56" s="1"/>
  <c r="BR74" i="56"/>
  <c r="BQ74" i="56"/>
  <c r="BI74" i="56"/>
  <c r="BC74" i="56"/>
  <c r="BB74" i="56"/>
  <c r="BA74" i="56"/>
  <c r="BQ73" i="56"/>
  <c r="BF73" i="56"/>
  <c r="BI73" i="56" s="1"/>
  <c r="BE73" i="56"/>
  <c r="BR73" i="56" s="1"/>
  <c r="BC73" i="56"/>
  <c r="BB73" i="56"/>
  <c r="BA73" i="56"/>
  <c r="BR90" i="56" l="1"/>
  <c r="BI83" i="56"/>
  <c r="BD73" i="56"/>
  <c r="BD85" i="56"/>
  <c r="BI149" i="56"/>
  <c r="BD102" i="56"/>
  <c r="BD78" i="56"/>
  <c r="BD106" i="56"/>
  <c r="BD127" i="56"/>
  <c r="BI144" i="56"/>
  <c r="BI155" i="56"/>
  <c r="BI157" i="56"/>
  <c r="BI158" i="56"/>
  <c r="BI107" i="56"/>
  <c r="BD110" i="56"/>
  <c r="BR93" i="56"/>
  <c r="BI105" i="56"/>
  <c r="BI109" i="56"/>
  <c r="BI142" i="56"/>
  <c r="BI150" i="56"/>
  <c r="BD76" i="56"/>
  <c r="BI99" i="56"/>
  <c r="BI104" i="56"/>
  <c r="BD145" i="56"/>
  <c r="BD149" i="56"/>
  <c r="BD153" i="56"/>
  <c r="BI154" i="56"/>
  <c r="BD165" i="56"/>
  <c r="BD166" i="56"/>
  <c r="BR99" i="56"/>
  <c r="BD162" i="56"/>
  <c r="BD79" i="56"/>
  <c r="BI88" i="56"/>
  <c r="BD94" i="56"/>
  <c r="BR100" i="56"/>
  <c r="BI102" i="56"/>
  <c r="BD103" i="56"/>
  <c r="BI108" i="56"/>
  <c r="BI145" i="56"/>
  <c r="BI147" i="56"/>
  <c r="BD148" i="56"/>
  <c r="BI111" i="56"/>
  <c r="BD81" i="56"/>
  <c r="BD75" i="56"/>
  <c r="BI84" i="56"/>
  <c r="BI86" i="56"/>
  <c r="BI114" i="56"/>
  <c r="BI118" i="56"/>
  <c r="BI166" i="56"/>
  <c r="BD74" i="56"/>
  <c r="BD77" i="56"/>
  <c r="BD82" i="56"/>
  <c r="BD84" i="56"/>
  <c r="BD86" i="56"/>
  <c r="BI87" i="56"/>
  <c r="BD93" i="56"/>
  <c r="BR94" i="56"/>
  <c r="BD95" i="56"/>
  <c r="BD104" i="56"/>
  <c r="BD108" i="56"/>
  <c r="BI112" i="56"/>
  <c r="BD114" i="56"/>
  <c r="BI115" i="56"/>
  <c r="BD118" i="56"/>
  <c r="BI119" i="56"/>
  <c r="BD122" i="56"/>
  <c r="BI123" i="56"/>
  <c r="BI126" i="56"/>
  <c r="BD150" i="56"/>
  <c r="BI152" i="56"/>
  <c r="BI162" i="56"/>
  <c r="BI165" i="56"/>
  <c r="BR276" i="56"/>
  <c r="BD83" i="56"/>
  <c r="BD88" i="56"/>
  <c r="BD113" i="56"/>
  <c r="BD117" i="56"/>
  <c r="BD121" i="56"/>
  <c r="BI122" i="56"/>
  <c r="BD125" i="56"/>
  <c r="BI127" i="56"/>
  <c r="BI143" i="56"/>
  <c r="BI153" i="56"/>
  <c r="BR83" i="56"/>
  <c r="BI85" i="56"/>
  <c r="BD87" i="56"/>
  <c r="BD90" i="56"/>
  <c r="BR97" i="56"/>
  <c r="BD100" i="56"/>
  <c r="BD101" i="56"/>
  <c r="BR103" i="56"/>
  <c r="BI106" i="56"/>
  <c r="BI110" i="56"/>
  <c r="BR111" i="56"/>
  <c r="BI128" i="56"/>
  <c r="BD144" i="56"/>
  <c r="BI148" i="56"/>
  <c r="BD154" i="56"/>
  <c r="BI159" i="56"/>
  <c r="BI161" i="56"/>
  <c r="BD164" i="56"/>
  <c r="BD167" i="56"/>
  <c r="BR275" i="56"/>
  <c r="BD91" i="56"/>
  <c r="BD96" i="56"/>
  <c r="BD99" i="56"/>
  <c r="BI116" i="56"/>
  <c r="BI120" i="56"/>
  <c r="BD123" i="56"/>
  <c r="BR91" i="56"/>
  <c r="BR96" i="56"/>
  <c r="BD105" i="56"/>
  <c r="BD107" i="56"/>
  <c r="BD109" i="56"/>
  <c r="BD111" i="56"/>
  <c r="BI113" i="56"/>
  <c r="BR115" i="56"/>
  <c r="BD116" i="56"/>
  <c r="BI117" i="56"/>
  <c r="BD120" i="56"/>
  <c r="BI121" i="56"/>
  <c r="BD124" i="56"/>
  <c r="BI125" i="56"/>
  <c r="BI146" i="56"/>
  <c r="BI151" i="56"/>
  <c r="BI156" i="56"/>
  <c r="BI160" i="56"/>
  <c r="BI163" i="56"/>
  <c r="BI167" i="56"/>
  <c r="BJ111" i="56"/>
  <c r="BD115" i="56"/>
  <c r="BD119" i="56"/>
  <c r="BI124" i="56"/>
  <c r="BI164" i="56"/>
  <c r="BD92" i="56"/>
  <c r="BR95" i="56"/>
  <c r="BD97" i="56"/>
</calcChain>
</file>

<file path=xl/comments1.xml><?xml version="1.0" encoding="utf-8"?>
<comments xmlns="http://schemas.openxmlformats.org/spreadsheetml/2006/main">
  <authors>
    <author>Suffel, Chad A.</author>
  </authors>
  <commentList>
    <comment ref="BA174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B174" authorId="0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BC174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E174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BR174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BA175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B175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C175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E175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BR175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sharedStrings.xml><?xml version="1.0" encoding="utf-8"?>
<sst xmlns="http://schemas.openxmlformats.org/spreadsheetml/2006/main" count="6430" uniqueCount="3065">
  <si>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</si>
  <si>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</si>
  <si>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</si>
  <si>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</si>
  <si>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</si>
  <si>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</si>
  <si>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OE 2  Part #</t>
  </si>
  <si>
    <t>OE 1 Part #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</si>
  <si>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</si>
  <si>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</si>
  <si>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</si>
  <si>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</si>
  <si>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</si>
  <si>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</si>
  <si>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</si>
  <si>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</si>
  <si>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</si>
  <si>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</si>
  <si>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</si>
  <si>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</si>
  <si>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</si>
  <si>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</si>
  <si>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</si>
  <si>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</si>
  <si>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</si>
  <si>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</si>
  <si>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</si>
  <si>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</si>
  <si>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</si>
  <si>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</si>
  <si>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</si>
  <si>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</si>
  <si>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</si>
  <si>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</si>
  <si>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</si>
  <si>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</si>
  <si>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</si>
  <si>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</si>
  <si>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</si>
  <si>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</si>
  <si>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</si>
  <si>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</si>
  <si>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</si>
  <si>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</si>
  <si>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</si>
  <si>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</si>
  <si>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</si>
  <si>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</si>
  <si>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</si>
  <si>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Motorcraft</t>
  </si>
  <si>
    <t>Hengst</t>
  </si>
  <si>
    <t>Fram</t>
  </si>
  <si>
    <t>OE Ref Mfg #4</t>
  </si>
  <si>
    <t>I 2 of 5 Code</t>
  </si>
  <si>
    <t>OE 3  Part #</t>
  </si>
  <si>
    <t>OE 4  Part #</t>
  </si>
  <si>
    <t>OE Ref Mfg #5</t>
  </si>
  <si>
    <t>OE 5  Part #</t>
  </si>
  <si>
    <t>OE Ref Mfg #6</t>
  </si>
  <si>
    <t>OE   Part #</t>
  </si>
  <si>
    <t>HD</t>
  </si>
  <si>
    <t>Price Change Effective Date</t>
  </si>
  <si>
    <t>Status</t>
  </si>
  <si>
    <t>PART NUMBER UPDATES</t>
  </si>
  <si>
    <t>OE Ref Mfg #7</t>
  </si>
  <si>
    <t>Fuel Filter</t>
  </si>
  <si>
    <t>PV or HD</t>
  </si>
  <si>
    <t>Price  Information</t>
  </si>
  <si>
    <t>STP</t>
  </si>
  <si>
    <t>Jobber Price Was</t>
  </si>
  <si>
    <t>Filter Dimensions</t>
  </si>
  <si>
    <t>OD</t>
  </si>
  <si>
    <t>ID</t>
  </si>
  <si>
    <t>Obsolete</t>
  </si>
  <si>
    <t>Date</t>
  </si>
  <si>
    <t>Brand</t>
  </si>
  <si>
    <t>LFH95412</t>
  </si>
  <si>
    <t>LUBER-FINER</t>
  </si>
  <si>
    <t>LFH95413</t>
  </si>
  <si>
    <t>LH95414</t>
  </si>
  <si>
    <t>LFH95416</t>
  </si>
  <si>
    <t>LFH95417</t>
  </si>
  <si>
    <t>LFH95418</t>
  </si>
  <si>
    <t>LFH95419</t>
  </si>
  <si>
    <t>LH95001</t>
  </si>
  <si>
    <t>LH95002</t>
  </si>
  <si>
    <t>LH95003</t>
  </si>
  <si>
    <t>LH95004</t>
  </si>
  <si>
    <t>LH95005</t>
  </si>
  <si>
    <t>LH95006</t>
  </si>
  <si>
    <t>LH95007</t>
  </si>
  <si>
    <t>LH95008</t>
  </si>
  <si>
    <t>LH95009</t>
  </si>
  <si>
    <t>LH95012</t>
  </si>
  <si>
    <t>LH95013</t>
  </si>
  <si>
    <t>LH95014</t>
  </si>
  <si>
    <t>LH95015</t>
  </si>
  <si>
    <t>LH95016</t>
  </si>
  <si>
    <t>LH95017</t>
  </si>
  <si>
    <t>LH95018</t>
  </si>
  <si>
    <t>LH95019</t>
  </si>
  <si>
    <t>LH95021</t>
  </si>
  <si>
    <t>LH95022</t>
  </si>
  <si>
    <t>LH95023</t>
  </si>
  <si>
    <t>LH95025</t>
  </si>
  <si>
    <t>LH95026</t>
  </si>
  <si>
    <t>LH95028</t>
  </si>
  <si>
    <t>LH95029</t>
  </si>
  <si>
    <t>LH95031</t>
  </si>
  <si>
    <t>LH95032</t>
  </si>
  <si>
    <t>LH95033</t>
  </si>
  <si>
    <t>LH95034</t>
  </si>
  <si>
    <t>LH95036V</t>
  </si>
  <si>
    <t>LH95038</t>
  </si>
  <si>
    <t>LH95039</t>
  </si>
  <si>
    <t>LH95041</t>
  </si>
  <si>
    <t>LH95042</t>
  </si>
  <si>
    <t>LH95044</t>
  </si>
  <si>
    <t>LH95045</t>
  </si>
  <si>
    <t>LH95047</t>
  </si>
  <si>
    <t>LH95048</t>
  </si>
  <si>
    <t>LH95049</t>
  </si>
  <si>
    <t>LH95051</t>
  </si>
  <si>
    <t>LH95052</t>
  </si>
  <si>
    <t>LH95053</t>
  </si>
  <si>
    <t>LH95054</t>
  </si>
  <si>
    <t>LH95055</t>
  </si>
  <si>
    <t>LH95056</t>
  </si>
  <si>
    <t>LH95057</t>
  </si>
  <si>
    <t>LH95059</t>
  </si>
  <si>
    <t>LH95061</t>
  </si>
  <si>
    <t>LH95062</t>
  </si>
  <si>
    <t>LH95064V</t>
  </si>
  <si>
    <t>LH95065V</t>
  </si>
  <si>
    <t>LH95066</t>
  </si>
  <si>
    <t>LH95067</t>
  </si>
  <si>
    <t>LH95069V</t>
  </si>
  <si>
    <t>LH95071V</t>
  </si>
  <si>
    <t>LH95072</t>
  </si>
  <si>
    <t>LH95073V</t>
  </si>
  <si>
    <t>LH95074</t>
  </si>
  <si>
    <t>LH95075V</t>
  </si>
  <si>
    <t>LH95076V</t>
  </si>
  <si>
    <t>LH95078V</t>
  </si>
  <si>
    <t>LH95082V</t>
  </si>
  <si>
    <t>LH95083</t>
  </si>
  <si>
    <t>LH95084V</t>
  </si>
  <si>
    <t>LH95085V</t>
  </si>
  <si>
    <t>LH95086V</t>
  </si>
  <si>
    <t>LH95087V</t>
  </si>
  <si>
    <t>LH95088V</t>
  </si>
  <si>
    <t>LH95089V</t>
  </si>
  <si>
    <t>LH95091V</t>
  </si>
  <si>
    <t>LH95092V</t>
  </si>
  <si>
    <t>LH95093V</t>
  </si>
  <si>
    <t>LH95094V</t>
  </si>
  <si>
    <t>LH95097V</t>
  </si>
  <si>
    <t>LH95098V</t>
  </si>
  <si>
    <t>LH95099V</t>
  </si>
  <si>
    <t>LH95101V</t>
  </si>
  <si>
    <t>LH95102V</t>
  </si>
  <si>
    <t>LH95440</t>
  </si>
  <si>
    <t>LH95460</t>
  </si>
  <si>
    <t>LH95470</t>
  </si>
  <si>
    <t>LH95480</t>
  </si>
  <si>
    <t>LH95490</t>
  </si>
  <si>
    <t>LH95500</t>
  </si>
  <si>
    <t>LH95510</t>
  </si>
  <si>
    <t>LH95520</t>
  </si>
  <si>
    <t>LH95530</t>
  </si>
  <si>
    <t>LH95550</t>
  </si>
  <si>
    <t>LH95540</t>
  </si>
  <si>
    <t>LH95450</t>
  </si>
  <si>
    <t>LH95560</t>
  </si>
  <si>
    <t>LH95570</t>
  </si>
  <si>
    <t>LH95580</t>
  </si>
  <si>
    <t>LH95590</t>
  </si>
  <si>
    <t>LH95600</t>
  </si>
  <si>
    <t>LH95620</t>
  </si>
  <si>
    <t>LH95670</t>
  </si>
  <si>
    <t>LH95680</t>
  </si>
  <si>
    <t>LH95700</t>
  </si>
  <si>
    <t>LH95710</t>
  </si>
  <si>
    <t>LH95720</t>
  </si>
  <si>
    <t>LH95730</t>
  </si>
  <si>
    <t>LH95740</t>
  </si>
  <si>
    <t>LH95750</t>
  </si>
  <si>
    <t>LH95760</t>
  </si>
  <si>
    <t>LH95770</t>
  </si>
  <si>
    <t>LH95780</t>
  </si>
  <si>
    <t>LH95790</t>
  </si>
  <si>
    <t>LH95800</t>
  </si>
  <si>
    <t>LH95810</t>
  </si>
  <si>
    <t>LH95820</t>
  </si>
  <si>
    <t>LH95830</t>
  </si>
  <si>
    <t>LH95840</t>
  </si>
  <si>
    <t>LH95860</t>
  </si>
  <si>
    <t>LH95870</t>
  </si>
  <si>
    <t>LH95880</t>
  </si>
  <si>
    <t>LH95890</t>
  </si>
  <si>
    <t>LH95900</t>
  </si>
  <si>
    <t>LH95910</t>
  </si>
  <si>
    <t>LH95920</t>
  </si>
  <si>
    <t>LH95930</t>
  </si>
  <si>
    <t>LH95940</t>
  </si>
  <si>
    <t>LH95960</t>
  </si>
  <si>
    <t>LH95970</t>
  </si>
  <si>
    <t>LH95980</t>
  </si>
  <si>
    <t>LH95990</t>
  </si>
  <si>
    <t>LH95103V</t>
  </si>
  <si>
    <t>LH95104V</t>
  </si>
  <si>
    <t>LH95106V</t>
  </si>
  <si>
    <t>LH95108V</t>
  </si>
  <si>
    <t>LH95109V</t>
  </si>
  <si>
    <t>LH95111V</t>
  </si>
  <si>
    <t>LH95112V</t>
  </si>
  <si>
    <t>LH95113V</t>
  </si>
  <si>
    <t>LH95114V</t>
  </si>
  <si>
    <t>LH95116V</t>
  </si>
  <si>
    <t>LH95118V</t>
  </si>
  <si>
    <t>LH95990V</t>
  </si>
  <si>
    <t>LH95980V</t>
  </si>
  <si>
    <t>LH95970V</t>
  </si>
  <si>
    <t>LH95960V</t>
  </si>
  <si>
    <t>LH95950V</t>
  </si>
  <si>
    <t>LH95940V</t>
  </si>
  <si>
    <t>LH95930V</t>
  </si>
  <si>
    <t>LH95910V</t>
  </si>
  <si>
    <t>LH95900V</t>
  </si>
  <si>
    <t>LH95890V</t>
  </si>
  <si>
    <t>LH95880V</t>
  </si>
  <si>
    <t>LH95870V</t>
  </si>
  <si>
    <t>LH95860V</t>
  </si>
  <si>
    <t>LH95850V</t>
  </si>
  <si>
    <t>LH95840V</t>
  </si>
  <si>
    <t>LH95830V</t>
  </si>
  <si>
    <t>LH95820V</t>
  </si>
  <si>
    <t>LH95810V</t>
  </si>
  <si>
    <t>LH95800V</t>
  </si>
  <si>
    <t>LH95790V</t>
  </si>
  <si>
    <t>LH95780V</t>
  </si>
  <si>
    <t>LH95770V</t>
  </si>
  <si>
    <t>LH95760V</t>
  </si>
  <si>
    <t>LH95750V</t>
  </si>
  <si>
    <t>LH95730V</t>
  </si>
  <si>
    <t>LH95720V</t>
  </si>
  <si>
    <t>LH95710V</t>
  </si>
  <si>
    <t>LH95700V</t>
  </si>
  <si>
    <t>LH95680V</t>
  </si>
  <si>
    <t>LH95670V</t>
  </si>
  <si>
    <t>LH95620V</t>
  </si>
  <si>
    <t>LH95600V</t>
  </si>
  <si>
    <t>LH95590V</t>
  </si>
  <si>
    <t>LH95580V</t>
  </si>
  <si>
    <t>LH95570V</t>
  </si>
  <si>
    <t>LH95560V</t>
  </si>
  <si>
    <t>LH95550V</t>
  </si>
  <si>
    <t>LH95530V</t>
  </si>
  <si>
    <t>LH95520V</t>
  </si>
  <si>
    <t>LH95510V</t>
  </si>
  <si>
    <t>LH95500V</t>
  </si>
  <si>
    <t>LH95490V</t>
  </si>
  <si>
    <t>LH95480V</t>
  </si>
  <si>
    <t>LH95470V</t>
  </si>
  <si>
    <t>LH95460V</t>
  </si>
  <si>
    <t>LH95450V</t>
  </si>
  <si>
    <t>LH95540V</t>
  </si>
  <si>
    <t>LH95440V</t>
  </si>
  <si>
    <t>LH95083V</t>
  </si>
  <si>
    <t>LH95074V</t>
  </si>
  <si>
    <t>LH95072V</t>
  </si>
  <si>
    <t>LH95067V</t>
  </si>
  <si>
    <t>LH95066V</t>
  </si>
  <si>
    <t>LH95062V</t>
  </si>
  <si>
    <t>LH95061V</t>
  </si>
  <si>
    <t>LH95059V</t>
  </si>
  <si>
    <t>LH95057V</t>
  </si>
  <si>
    <t>LH95056V</t>
  </si>
  <si>
    <t>LH95055V</t>
  </si>
  <si>
    <t>LH95054V</t>
  </si>
  <si>
    <t>LH95053V</t>
  </si>
  <si>
    <t>LH95052V</t>
  </si>
  <si>
    <t>LH95051V</t>
  </si>
  <si>
    <t>LH95049V</t>
  </si>
  <si>
    <t>LH95048V</t>
  </si>
  <si>
    <t>LH95047V</t>
  </si>
  <si>
    <t>LH95045V</t>
  </si>
  <si>
    <t>LH95044V</t>
  </si>
  <si>
    <t>LH95042V</t>
  </si>
  <si>
    <t>LH95041V</t>
  </si>
  <si>
    <t>LH95039V</t>
  </si>
  <si>
    <t>LH95038V</t>
  </si>
  <si>
    <t>LH95034V</t>
  </si>
  <si>
    <t>LH95033V</t>
  </si>
  <si>
    <t>LH95032V</t>
  </si>
  <si>
    <t>LH95031V</t>
  </si>
  <si>
    <t>LH95029V</t>
  </si>
  <si>
    <t>LH95028V</t>
  </si>
  <si>
    <t>LH95026V</t>
  </si>
  <si>
    <t>LH95025V</t>
  </si>
  <si>
    <t>LH95023V</t>
  </si>
  <si>
    <t>LH95022V</t>
  </si>
  <si>
    <t>LH95021V</t>
  </si>
  <si>
    <t>LH95019V</t>
  </si>
  <si>
    <t>LH95018V</t>
  </si>
  <si>
    <t>LH95017V</t>
  </si>
  <si>
    <t>LH95016V</t>
  </si>
  <si>
    <t>LH95015V</t>
  </si>
  <si>
    <t>LH95014V</t>
  </si>
  <si>
    <t>LH95013V</t>
  </si>
  <si>
    <t>LH95012V</t>
  </si>
  <si>
    <t>LH95011V</t>
  </si>
  <si>
    <t>LH95009V</t>
  </si>
  <si>
    <t>LH95008V</t>
  </si>
  <si>
    <t>LH95007V</t>
  </si>
  <si>
    <t>LH95006V</t>
  </si>
  <si>
    <t>LH95005V</t>
  </si>
  <si>
    <t>LH95004V</t>
  </si>
  <si>
    <t>LH95003V</t>
  </si>
  <si>
    <t>LH95002V</t>
  </si>
  <si>
    <t>LH95001V</t>
  </si>
  <si>
    <t>LH95299</t>
  </si>
  <si>
    <t>LH95299V</t>
  </si>
  <si>
    <t>LH95301</t>
  </si>
  <si>
    <t>LH95301V</t>
  </si>
  <si>
    <t>LH95302</t>
  </si>
  <si>
    <t>LH95302V</t>
  </si>
  <si>
    <t>LH95303</t>
  </si>
  <si>
    <t>LH95303V</t>
  </si>
  <si>
    <t>LH95311</t>
  </si>
  <si>
    <t>LH95311V</t>
  </si>
  <si>
    <t>LH95312</t>
  </si>
  <si>
    <t>LH95312V</t>
  </si>
  <si>
    <t>LH95313</t>
  </si>
  <si>
    <t>LH95313V</t>
  </si>
  <si>
    <t>LH95326</t>
  </si>
  <si>
    <t>LH95326V</t>
  </si>
  <si>
    <t>LH95327</t>
  </si>
  <si>
    <t>LH95327V</t>
  </si>
  <si>
    <t>LH95328</t>
  </si>
  <si>
    <t>LH95328V</t>
  </si>
  <si>
    <t>LH95329</t>
  </si>
  <si>
    <t>LH95329V</t>
  </si>
  <si>
    <t>LH95331</t>
  </si>
  <si>
    <t>LH95331V</t>
  </si>
  <si>
    <t>LH95333</t>
  </si>
  <si>
    <t>LH95333V</t>
  </si>
  <si>
    <t>LH95334</t>
  </si>
  <si>
    <t>LH95334V</t>
  </si>
  <si>
    <t>LH95343</t>
  </si>
  <si>
    <t>LH95343V</t>
  </si>
  <si>
    <t>LH95346</t>
  </si>
  <si>
    <t>LH95346V</t>
  </si>
  <si>
    <t>LH95356</t>
  </si>
  <si>
    <t>LH95356V</t>
  </si>
  <si>
    <t>LH95357</t>
  </si>
  <si>
    <t>LH95357V</t>
  </si>
  <si>
    <t>LH95358</t>
  </si>
  <si>
    <t>LH95358V</t>
  </si>
  <si>
    <t>LH95359</t>
  </si>
  <si>
    <t>LH95359V</t>
  </si>
  <si>
    <t>LH95362</t>
  </si>
  <si>
    <t>LH95362V</t>
  </si>
  <si>
    <t>LH95367</t>
  </si>
  <si>
    <t>LH95368</t>
  </si>
  <si>
    <t>LH95369</t>
  </si>
  <si>
    <t>LH95371</t>
  </si>
  <si>
    <t>LH95381</t>
  </si>
  <si>
    <t>LH95381V</t>
  </si>
  <si>
    <t>LH95382</t>
  </si>
  <si>
    <t>LH95382V</t>
  </si>
  <si>
    <t>LH95383</t>
  </si>
  <si>
    <t>LH95383V</t>
  </si>
  <si>
    <t>LH95384</t>
  </si>
  <si>
    <t>LH95384V</t>
  </si>
  <si>
    <t>LH95385</t>
  </si>
  <si>
    <t>LH95386</t>
  </si>
  <si>
    <t>LH95387</t>
  </si>
  <si>
    <t>LH95388</t>
  </si>
  <si>
    <t>LH95389</t>
  </si>
  <si>
    <t>LH95389V</t>
  </si>
  <si>
    <t>LH95391</t>
  </si>
  <si>
    <t>LH95391V</t>
  </si>
  <si>
    <t>LH95392</t>
  </si>
  <si>
    <t>LH95392V</t>
  </si>
  <si>
    <t>LH95393</t>
  </si>
  <si>
    <t>LH95393V</t>
  </si>
  <si>
    <t>LH95395</t>
  </si>
  <si>
    <t>LH95395V</t>
  </si>
  <si>
    <t>LH95122</t>
  </si>
  <si>
    <t>LH95122V</t>
  </si>
  <si>
    <t>LH95123</t>
  </si>
  <si>
    <t>LH95123V</t>
  </si>
  <si>
    <t>LH95124V</t>
  </si>
  <si>
    <t>LH95125</t>
  </si>
  <si>
    <t>LH95125V</t>
  </si>
  <si>
    <t>LH95126</t>
  </si>
  <si>
    <t>LH95126V</t>
  </si>
  <si>
    <t>LH95127</t>
  </si>
  <si>
    <t>LH95127V</t>
  </si>
  <si>
    <t>LH95128</t>
  </si>
  <si>
    <t>LH95128V</t>
  </si>
  <si>
    <t>LH95129</t>
  </si>
  <si>
    <t>LH95129V</t>
  </si>
  <si>
    <t>LH95131</t>
  </si>
  <si>
    <t>LH95131V</t>
  </si>
  <si>
    <t>LH95132</t>
  </si>
  <si>
    <t>LH95132V</t>
  </si>
  <si>
    <t>LH95133</t>
  </si>
  <si>
    <t>LH95133V</t>
  </si>
  <si>
    <t>LH95134</t>
  </si>
  <si>
    <t>LH95134V</t>
  </si>
  <si>
    <t>LH95135</t>
  </si>
  <si>
    <t>LH95135V</t>
  </si>
  <si>
    <t>LH95136</t>
  </si>
  <si>
    <t>LH95136V</t>
  </si>
  <si>
    <t>LH95137</t>
  </si>
  <si>
    <t>LH95137V</t>
  </si>
  <si>
    <t>LH95138</t>
  </si>
  <si>
    <t>LH95138V</t>
  </si>
  <si>
    <t>LH95139</t>
  </si>
  <si>
    <t>LH95139V</t>
  </si>
  <si>
    <t>LH95141</t>
  </si>
  <si>
    <t>LH95141V</t>
  </si>
  <si>
    <t>LH95142</t>
  </si>
  <si>
    <t>LH95142V</t>
  </si>
  <si>
    <t>LH95143</t>
  </si>
  <si>
    <t>LH95143V</t>
  </si>
  <si>
    <t>LH95144</t>
  </si>
  <si>
    <t>LH95144V</t>
  </si>
  <si>
    <t>LH95145</t>
  </si>
  <si>
    <t>LH95145V</t>
  </si>
  <si>
    <t>LH95146</t>
  </si>
  <si>
    <t>LH95146V</t>
  </si>
  <si>
    <t>LH95147</t>
  </si>
  <si>
    <t>LH95147V</t>
  </si>
  <si>
    <t>LH95148</t>
  </si>
  <si>
    <t>LH95148V</t>
  </si>
  <si>
    <t>LH95149</t>
  </si>
  <si>
    <t>LH95149V</t>
  </si>
  <si>
    <t>LH95151</t>
  </si>
  <si>
    <t>LH95151V</t>
  </si>
  <si>
    <t>LH95152V</t>
  </si>
  <si>
    <t>LH95153</t>
  </si>
  <si>
    <t>LH95153V</t>
  </si>
  <si>
    <t>LH95154</t>
  </si>
  <si>
    <t>LH95154V</t>
  </si>
  <si>
    <t>LH95155</t>
  </si>
  <si>
    <t>LH95155V</t>
  </si>
  <si>
    <t>LH95156</t>
  </si>
  <si>
    <t>LH95156V</t>
  </si>
  <si>
    <t>LH95157</t>
  </si>
  <si>
    <t>LH95157V</t>
  </si>
  <si>
    <t>LH95158</t>
  </si>
  <si>
    <t>LH95158V</t>
  </si>
  <si>
    <t>LH95159</t>
  </si>
  <si>
    <t>LH95159V</t>
  </si>
  <si>
    <t>LH95161</t>
  </si>
  <si>
    <t>LH95161V</t>
  </si>
  <si>
    <t>LH95162</t>
  </si>
  <si>
    <t>LH95162V</t>
  </si>
  <si>
    <t>LH95163</t>
  </si>
  <si>
    <t>LH95163V</t>
  </si>
  <si>
    <t>LH95164</t>
  </si>
  <si>
    <t>LH95164V</t>
  </si>
  <si>
    <t>LH95165</t>
  </si>
  <si>
    <t>LH95165V</t>
  </si>
  <si>
    <t>LH95166</t>
  </si>
  <si>
    <t>LH95166V</t>
  </si>
  <si>
    <t>LH95992</t>
  </si>
  <si>
    <t>LH95992V</t>
  </si>
  <si>
    <t>LH95991</t>
  </si>
  <si>
    <t>LH95991V</t>
  </si>
  <si>
    <t>LH95993</t>
  </si>
  <si>
    <t>LH95993V</t>
  </si>
  <si>
    <t>LH95994</t>
  </si>
  <si>
    <t>LH95994V</t>
  </si>
  <si>
    <t>LH95995</t>
  </si>
  <si>
    <t>LH95995V</t>
  </si>
  <si>
    <t>LH95998</t>
  </si>
  <si>
    <t>LH95998V</t>
  </si>
  <si>
    <t>LH95999</t>
  </si>
  <si>
    <t>LH95981</t>
  </si>
  <si>
    <t>LH95981V</t>
  </si>
  <si>
    <t>LH95982</t>
  </si>
  <si>
    <t>LH95982V</t>
  </si>
  <si>
    <t>LH95983</t>
  </si>
  <si>
    <t>LH95983V</t>
  </si>
  <si>
    <t>LH95984</t>
  </si>
  <si>
    <t>LH95984V</t>
  </si>
  <si>
    <t>LH95985</t>
  </si>
  <si>
    <t>LH95985V</t>
  </si>
  <si>
    <t>LH95986</t>
  </si>
  <si>
    <t>LH95987</t>
  </si>
  <si>
    <t>LH95988</t>
  </si>
  <si>
    <t>LH95989</t>
  </si>
  <si>
    <t>LH95167</t>
  </si>
  <si>
    <t>LH95168</t>
  </si>
  <si>
    <t>LH95169</t>
  </si>
  <si>
    <t>LH95171</t>
  </si>
  <si>
    <t>LH95172</t>
  </si>
  <si>
    <t>LH95173</t>
  </si>
  <si>
    <t>LH95174</t>
  </si>
  <si>
    <t>LH95175</t>
  </si>
  <si>
    <t>LH95176</t>
  </si>
  <si>
    <t>LH95177</t>
  </si>
  <si>
    <t>LH95178</t>
  </si>
  <si>
    <t>LH95179</t>
  </si>
  <si>
    <t>LH95181</t>
  </si>
  <si>
    <t>LH95182</t>
  </si>
  <si>
    <t>LH95183</t>
  </si>
  <si>
    <t>LH95184</t>
  </si>
  <si>
    <t>LH95185</t>
  </si>
  <si>
    <t>LH95186</t>
  </si>
  <si>
    <t>LH95187</t>
  </si>
  <si>
    <t>LH95188</t>
  </si>
  <si>
    <t>LH95189V</t>
  </si>
  <si>
    <t>LH95191</t>
  </si>
  <si>
    <t>LH95191V</t>
  </si>
  <si>
    <t>LH95192</t>
  </si>
  <si>
    <t>LH95192V</t>
  </si>
  <si>
    <t>LH95193</t>
  </si>
  <si>
    <t>LH95193V</t>
  </si>
  <si>
    <t>LH95194</t>
  </si>
  <si>
    <t>LH95194V</t>
  </si>
  <si>
    <t>LH95195</t>
  </si>
  <si>
    <t>LH95195V</t>
  </si>
  <si>
    <t>LH95196</t>
  </si>
  <si>
    <t>LH95196V</t>
  </si>
  <si>
    <t>LH95197V</t>
  </si>
  <si>
    <t>LH95198</t>
  </si>
  <si>
    <t>LH95198V</t>
  </si>
  <si>
    <t>LH95199</t>
  </si>
  <si>
    <t>LH95199V</t>
  </si>
  <si>
    <t>LH95201</t>
  </si>
  <si>
    <t>LH95201V</t>
  </si>
  <si>
    <t>LH95202</t>
  </si>
  <si>
    <t>LH95202V</t>
  </si>
  <si>
    <t>LH95203</t>
  </si>
  <si>
    <t>LH95203V</t>
  </si>
  <si>
    <t>LH95204</t>
  </si>
  <si>
    <t>LH95204V</t>
  </si>
  <si>
    <t>LH95205</t>
  </si>
  <si>
    <t>LH95205V</t>
  </si>
  <si>
    <t>LH95206</t>
  </si>
  <si>
    <t>LH95206V</t>
  </si>
  <si>
    <t>LH95207</t>
  </si>
  <si>
    <t>LH95207V</t>
  </si>
  <si>
    <t>LH95208</t>
  </si>
  <si>
    <t>LH95208V</t>
  </si>
  <si>
    <t>LH95214</t>
  </si>
  <si>
    <t>LH95215</t>
  </si>
  <si>
    <t>LH95216</t>
  </si>
  <si>
    <t>LH95217</t>
  </si>
  <si>
    <t>LH95218</t>
  </si>
  <si>
    <t>LH95219</t>
  </si>
  <si>
    <t>LH95221</t>
  </si>
  <si>
    <t>LH95222</t>
  </si>
  <si>
    <t>LH95223</t>
  </si>
  <si>
    <t>LH95224</t>
  </si>
  <si>
    <t>LH95225</t>
  </si>
  <si>
    <t>LH95226</t>
  </si>
  <si>
    <t>LH95227</t>
  </si>
  <si>
    <t>LH95228</t>
  </si>
  <si>
    <t>LH95229</t>
  </si>
  <si>
    <t>LH95231</t>
  </si>
  <si>
    <t>LH95238V</t>
  </si>
  <si>
    <t>LH95239</t>
  </si>
  <si>
    <t>LH95239V</t>
  </si>
  <si>
    <t>LH95241V</t>
  </si>
  <si>
    <t>LH95242V</t>
  </si>
  <si>
    <t>LH95243</t>
  </si>
  <si>
    <t>LH95243V</t>
  </si>
  <si>
    <t>LH95246</t>
  </si>
  <si>
    <t>LH95246V</t>
  </si>
  <si>
    <t>LH95247</t>
  </si>
  <si>
    <t>LH95247V</t>
  </si>
  <si>
    <t>LH95248</t>
  </si>
  <si>
    <t>LH95248V</t>
  </si>
  <si>
    <t>LH95249</t>
  </si>
  <si>
    <t>LH95249V</t>
  </si>
  <si>
    <t>LH95251V</t>
  </si>
  <si>
    <t>LH95252V</t>
  </si>
  <si>
    <t>LH95253V</t>
  </si>
  <si>
    <t>LH95254</t>
  </si>
  <si>
    <t>LH95254V</t>
  </si>
  <si>
    <t>LH95255</t>
  </si>
  <si>
    <t>LH95255V</t>
  </si>
  <si>
    <t>LH95256</t>
  </si>
  <si>
    <t>LH95256V</t>
  </si>
  <si>
    <t>LH95257</t>
  </si>
  <si>
    <t>LH95257V</t>
  </si>
  <si>
    <t>LH95259</t>
  </si>
  <si>
    <t>LH95259V</t>
  </si>
  <si>
    <t>LH95261</t>
  </si>
  <si>
    <t>LH95261V</t>
  </si>
  <si>
    <t>LH95262</t>
  </si>
  <si>
    <t>LH95262V</t>
  </si>
  <si>
    <t>LH95263</t>
  </si>
  <si>
    <t>LH95263V</t>
  </si>
  <si>
    <t>LH95264</t>
  </si>
  <si>
    <t>LH95264V</t>
  </si>
  <si>
    <t>LH95265</t>
  </si>
  <si>
    <t>LH95265V</t>
  </si>
  <si>
    <t>LH95267</t>
  </si>
  <si>
    <t>LH95267V</t>
  </si>
  <si>
    <t>LH95268</t>
  </si>
  <si>
    <t>LH95268V</t>
  </si>
  <si>
    <t>LH95273</t>
  </si>
  <si>
    <t>LH95273V</t>
  </si>
  <si>
    <t>LH95274</t>
  </si>
  <si>
    <t>LH95274V</t>
  </si>
  <si>
    <t>LH95275</t>
  </si>
  <si>
    <t>LH95275V</t>
  </si>
  <si>
    <t>LH95278</t>
  </si>
  <si>
    <t>LH95278V</t>
  </si>
  <si>
    <t>LH95283</t>
  </si>
  <si>
    <t>LH95283V</t>
  </si>
  <si>
    <t>LH95284</t>
  </si>
  <si>
    <t>LH95284V</t>
  </si>
  <si>
    <t>LH95285</t>
  </si>
  <si>
    <t>LH95285V</t>
  </si>
  <si>
    <t>LH95286</t>
  </si>
  <si>
    <t>LH95286V</t>
  </si>
  <si>
    <t>LH95287</t>
  </si>
  <si>
    <t>LH95287V</t>
  </si>
  <si>
    <t>LH95288</t>
  </si>
  <si>
    <t>LH95288V</t>
  </si>
  <si>
    <t>LH95289</t>
  </si>
  <si>
    <t>LH95289V</t>
  </si>
  <si>
    <t>LH95291</t>
  </si>
  <si>
    <t>LH95291V</t>
  </si>
  <si>
    <t>LH95292</t>
  </si>
  <si>
    <t>LH95292V</t>
  </si>
  <si>
    <t>LH95293</t>
  </si>
  <si>
    <t>LH95293V</t>
  </si>
  <si>
    <t>LH95294</t>
  </si>
  <si>
    <t>LH95294V</t>
  </si>
  <si>
    <t>LH95295</t>
  </si>
  <si>
    <t>LH95295V</t>
  </si>
  <si>
    <t>LH95296</t>
  </si>
  <si>
    <t>LH95296V</t>
  </si>
  <si>
    <t>LH95297</t>
  </si>
  <si>
    <t>LH95297V</t>
  </si>
  <si>
    <t>LH95298</t>
  </si>
  <si>
    <t>LH95298V</t>
  </si>
  <si>
    <t>LH95740V</t>
  </si>
  <si>
    <t>LH95690V</t>
  </si>
  <si>
    <t>LH95024</t>
  </si>
  <si>
    <t>LH95027</t>
  </si>
  <si>
    <t>LH95035</t>
  </si>
  <si>
    <t>LH95058</t>
  </si>
  <si>
    <t>LH95304</t>
  </si>
  <si>
    <t>LH95305</t>
  </si>
  <si>
    <t>LH95314</t>
  </si>
  <si>
    <t>LH95315</t>
  </si>
  <si>
    <t>LH95316</t>
  </si>
  <si>
    <t>LH95332</t>
  </si>
  <si>
    <t>LH95341</t>
  </si>
  <si>
    <t>LH95345</t>
  </si>
  <si>
    <t>LH95361</t>
  </si>
  <si>
    <t>LH95394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</si>
  <si>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</si>
  <si>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</si>
  <si>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</si>
  <si>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</si>
  <si>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</si>
  <si>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</si>
  <si>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</si>
  <si>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</si>
  <si>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</si>
  <si>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Superseded by LH95024V</t>
  </si>
  <si>
    <t>Superseded by LH95027V</t>
  </si>
  <si>
    <t>Superseded by LH95035V</t>
  </si>
  <si>
    <t>Superseded by LH95058V</t>
  </si>
  <si>
    <t>Superseded by LH95304V</t>
  </si>
  <si>
    <t>Superseded by LH95305V</t>
  </si>
  <si>
    <t>Superseded by LH95314V</t>
  </si>
  <si>
    <t>Superseded by LH95315V</t>
  </si>
  <si>
    <t>Superseded by LH95316V</t>
  </si>
  <si>
    <t>Superseded by LH95332V</t>
  </si>
  <si>
    <t>Superseded by LH95341V</t>
  </si>
  <si>
    <t>Superseded by LH95345V</t>
  </si>
  <si>
    <t>Superseded by LH95361V</t>
  </si>
  <si>
    <t>Superseded by LH95394V</t>
  </si>
  <si>
    <t>Superseded by LH95266V</t>
  </si>
  <si>
    <t>Superseded by LH95269V</t>
  </si>
  <si>
    <t>Superseded by LH95271V</t>
  </si>
  <si>
    <t>Superseded by LH95272V</t>
  </si>
  <si>
    <t>Superseded by LH95276V</t>
  </si>
  <si>
    <t>Superseded by LH95277V</t>
  </si>
  <si>
    <t>Superseded by LH95279V</t>
  </si>
  <si>
    <t>Superseded by LH95281V</t>
  </si>
  <si>
    <t>Superseded by LH95282V</t>
  </si>
  <si>
    <t xml:space="preserve">Mobil </t>
  </si>
  <si>
    <t>LAF4712</t>
  </si>
  <si>
    <t>Air Filter</t>
  </si>
  <si>
    <t>Hydraulic Filter</t>
  </si>
  <si>
    <t>LAF6986</t>
  </si>
  <si>
    <t>Valvoline</t>
  </si>
  <si>
    <t>New Price</t>
  </si>
  <si>
    <t>Superseded by LAF4348</t>
  </si>
  <si>
    <t>LAF1713</t>
  </si>
  <si>
    <t>LAF1128</t>
  </si>
  <si>
    <t>Pending Obsolete</t>
  </si>
  <si>
    <t>LAF1737</t>
  </si>
  <si>
    <t>LFH3653-25</t>
  </si>
  <si>
    <t>Superseded by LFH4209</t>
  </si>
  <si>
    <t>LMB50</t>
  </si>
  <si>
    <t>LFH8297</t>
  </si>
  <si>
    <t>A777</t>
  </si>
  <si>
    <t>LH2544</t>
  </si>
  <si>
    <t>Application</t>
  </si>
  <si>
    <t>Central America</t>
  </si>
  <si>
    <t>Oil Filter</t>
  </si>
  <si>
    <t>KNECHT/MAHLE</t>
  </si>
  <si>
    <t>LAK812</t>
  </si>
  <si>
    <t>AF9911</t>
  </si>
  <si>
    <t xml:space="preserve">PV </t>
  </si>
  <si>
    <t>Ford CMAX (2013-16), Fusion Hybrid (2013-16)
  Motorcraft FA1911</t>
  </si>
  <si>
    <t>Ford</t>
  </si>
  <si>
    <t>DG9Z-9601-A</t>
  </si>
  <si>
    <t>33-5001</t>
  </si>
  <si>
    <t>FA 1911</t>
  </si>
  <si>
    <t>A36271</t>
  </si>
  <si>
    <t>SA11482</t>
  </si>
  <si>
    <t>AF6271</t>
  </si>
  <si>
    <t>WAF9911</t>
  </si>
  <si>
    <t>WA10038</t>
  </si>
  <si>
    <t>CAF1929P</t>
  </si>
  <si>
    <t>Air Filter, Cabin</t>
  </si>
  <si>
    <t xml:space="preserve">Jaguar XF Series (2009-16) </t>
  </si>
  <si>
    <t>Jaguar</t>
  </si>
  <si>
    <t>C2Z6525</t>
  </si>
  <si>
    <t>CAF1872P</t>
  </si>
  <si>
    <t>PV</t>
  </si>
  <si>
    <t>Buick Lacrosse (2010-16), Cadillac SRX (2010-16),  Chevrolet Cruze (2011-16  Dust and Odor</t>
  </si>
  <si>
    <t>GM</t>
  </si>
  <si>
    <t>AC Delco</t>
  </si>
  <si>
    <t>CF176</t>
  </si>
  <si>
    <t>CA10775</t>
  </si>
  <si>
    <t>C36154C</t>
  </si>
  <si>
    <t>CAF1872C</t>
  </si>
  <si>
    <t>C36154</t>
  </si>
  <si>
    <t>VCA1078C</t>
  </si>
  <si>
    <t>WCAF1872</t>
  </si>
  <si>
    <t>CAF1904C</t>
  </si>
  <si>
    <t>Cadillac XTS (2013)</t>
  </si>
  <si>
    <t>CF185</t>
  </si>
  <si>
    <t>PA10014</t>
  </si>
  <si>
    <t>WCAF1904</t>
  </si>
  <si>
    <t>WP10192</t>
  </si>
  <si>
    <t>CAF1913C</t>
  </si>
  <si>
    <t>BMW 328 Series (2013) Dust and Odor</t>
  </si>
  <si>
    <t>BMW</t>
  </si>
  <si>
    <t>90289C</t>
  </si>
  <si>
    <t>CUK25011</t>
  </si>
  <si>
    <t>P1018</t>
  </si>
  <si>
    <t xml:space="preserve">Mercedes V8 5.5L (2011-16)  </t>
  </si>
  <si>
    <t>Mercedes</t>
  </si>
  <si>
    <t>S11792</t>
  </si>
  <si>
    <t>WP1018</t>
  </si>
  <si>
    <t>038568744333</t>
  </si>
  <si>
    <t>10038568744330</t>
  </si>
  <si>
    <t>Yes</t>
  </si>
  <si>
    <t>Mexico</t>
  </si>
  <si>
    <t>8421.31.0000</t>
  </si>
  <si>
    <t>038568743275</t>
  </si>
  <si>
    <t>10038568743272</t>
  </si>
  <si>
    <t>China</t>
  </si>
  <si>
    <t>8421.39.8015</t>
  </si>
  <si>
    <t>038568744425</t>
  </si>
  <si>
    <t>10038568744422</t>
  </si>
  <si>
    <t>038568743794</t>
  </si>
  <si>
    <t>10038568743791</t>
  </si>
  <si>
    <t>038568743824</t>
  </si>
  <si>
    <t>10038568743821</t>
  </si>
  <si>
    <t>038568742940</t>
  </si>
  <si>
    <t>10038568742947</t>
  </si>
  <si>
    <t>Bulgaria</t>
  </si>
  <si>
    <t>8421.23.0000</t>
  </si>
  <si>
    <t>NEW PRODUCT INTRODUCTIONS</t>
  </si>
  <si>
    <t>Mobil 1</t>
  </si>
  <si>
    <t>LFP7075</t>
  </si>
  <si>
    <t>Case Int. JX1060C, JX1070C; New Holland Tractors  TD60D, TD70D, TD75D Tractors</t>
  </si>
  <si>
    <t>Case Int'l</t>
  </si>
  <si>
    <t>New Holland</t>
  </si>
  <si>
    <t>B7219</t>
  </si>
  <si>
    <t>P502549</t>
  </si>
  <si>
    <t>LF17483</t>
  </si>
  <si>
    <t>PH5964</t>
  </si>
  <si>
    <t>038568737915</t>
  </si>
  <si>
    <t>10038568737912</t>
  </si>
  <si>
    <t>No</t>
  </si>
  <si>
    <t>CHINA</t>
  </si>
  <si>
    <t>8421230000</t>
  </si>
  <si>
    <t>L4367F</t>
  </si>
  <si>
    <t>Nissan;  International Scout w/Diesel eng.</t>
  </si>
  <si>
    <t>Nissan</t>
  </si>
  <si>
    <t>16403-37700</t>
  </si>
  <si>
    <t>PF861</t>
  </si>
  <si>
    <t>P550673</t>
  </si>
  <si>
    <t>038568743848</t>
  </si>
  <si>
    <t>10038568743845</t>
  </si>
  <si>
    <t>L5085F</t>
  </si>
  <si>
    <t xml:space="preserve"> Mitsubishi FE &amp; FG Trucks</t>
  </si>
  <si>
    <t xml:space="preserve">Mitsubishi </t>
  </si>
  <si>
    <t>ME222135</t>
  </si>
  <si>
    <t>PF9803</t>
  </si>
  <si>
    <t>038568743862</t>
  </si>
  <si>
    <t>10038568743869</t>
  </si>
  <si>
    <t>L7583F</t>
  </si>
  <si>
    <t>Furukawa FL200A (w/Mitsubishi 6DB10C eng.)</t>
  </si>
  <si>
    <t>PF7583</t>
  </si>
  <si>
    <t>P550044</t>
  </si>
  <si>
    <t>FF5086</t>
  </si>
  <si>
    <t>038568743855</t>
  </si>
  <si>
    <t>10038568743852</t>
  </si>
  <si>
    <t>L8852F</t>
  </si>
  <si>
    <t xml:space="preserve">Opel Mavano w/2.2L &amp; 2.5L Diesel eng.; Nissan Interstat and  Primastar w/2.5L eng.; Nissan;  Opel Mavano, and Renault Master </t>
  </si>
  <si>
    <t>16405-00QAB</t>
  </si>
  <si>
    <t>Opel</t>
  </si>
  <si>
    <t>Renault Master</t>
  </si>
  <si>
    <t>BF9801</t>
  </si>
  <si>
    <t>038568743886</t>
  </si>
  <si>
    <t>10038568743883</t>
  </si>
  <si>
    <t>L9890F</t>
  </si>
  <si>
    <t>Mitsubishi FK,FM  and FN series trucks with 6M60 engine.</t>
  </si>
  <si>
    <t>ME300361</t>
  </si>
  <si>
    <t>PF9890</t>
  </si>
  <si>
    <t>P502226</t>
  </si>
  <si>
    <t>FF5363</t>
  </si>
  <si>
    <t>038568743879</t>
  </si>
  <si>
    <t>10038568743876</t>
  </si>
  <si>
    <t>LH22142</t>
  </si>
  <si>
    <t>Fairey Arlon; Atlas Weyhausen AR52E (w/Deutz BF4L1011T eng.) J.C.B. with Cummins &amp; Perkins Engines</t>
  </si>
  <si>
    <t>Fairey Arlon</t>
  </si>
  <si>
    <t>TXW3E-CC10</t>
  </si>
  <si>
    <t>PT9479-MPG</t>
  </si>
  <si>
    <t>P171825</t>
  </si>
  <si>
    <t>038568741479</t>
  </si>
  <si>
    <t>10038568741476</t>
  </si>
  <si>
    <t>1 Unit box = 1 Carton</t>
  </si>
  <si>
    <t>CANADA</t>
  </si>
  <si>
    <t>8421290065</t>
  </si>
  <si>
    <t>LH9227V</t>
  </si>
  <si>
    <t xml:space="preserve">MP Filtri </t>
  </si>
  <si>
    <t>MP Filtri</t>
  </si>
  <si>
    <t>MF1801AM60NB</t>
  </si>
  <si>
    <t>PT9227</t>
  </si>
  <si>
    <t>P172541</t>
  </si>
  <si>
    <t>R20C60TB</t>
  </si>
  <si>
    <t>038568741769</t>
  </si>
  <si>
    <t>10038568741766</t>
  </si>
  <si>
    <t>LH9556</t>
  </si>
  <si>
    <t>Caterpillar 314D CR,314D LCR,M325C  Excavators</t>
  </si>
  <si>
    <t>Caterpillar</t>
  </si>
  <si>
    <t>PT9556-MPG</t>
  </si>
  <si>
    <t>P571271</t>
  </si>
  <si>
    <t>HF35440</t>
  </si>
  <si>
    <t>038568741868</t>
  </si>
  <si>
    <t>10038568741865</t>
  </si>
  <si>
    <t>AF5223</t>
  </si>
  <si>
    <t xml:space="preserve">Air Filter </t>
  </si>
  <si>
    <t>Honda Accord V6 (2013-15)</t>
  </si>
  <si>
    <t>Honda</t>
  </si>
  <si>
    <t>17220-5G0-A00</t>
  </si>
  <si>
    <t>CA11477</t>
  </si>
  <si>
    <t>A26283</t>
  </si>
  <si>
    <t>SA11477</t>
  </si>
  <si>
    <t>AF6283</t>
  </si>
  <si>
    <t>WAF5223</t>
  </si>
  <si>
    <t>038568744180</t>
  </si>
  <si>
    <t>10038568744187</t>
  </si>
  <si>
    <t>CAF1899P</t>
  </si>
  <si>
    <t>Ford Fiesta (2011-15)</t>
  </si>
  <si>
    <t>8V51-18D543-AA</t>
  </si>
  <si>
    <t>038568743602</t>
  </si>
  <si>
    <t>10038568743609</t>
  </si>
  <si>
    <t>CAF1908P</t>
  </si>
  <si>
    <t>Ford Fusion (2013-14)</t>
  </si>
  <si>
    <t>FP71</t>
  </si>
  <si>
    <t>PA4475</t>
  </si>
  <si>
    <t>WP10084</t>
  </si>
  <si>
    <t>038568743596</t>
  </si>
  <si>
    <t>10038568743593</t>
  </si>
  <si>
    <t>USA</t>
  </si>
  <si>
    <t>CAF1914P</t>
  </si>
  <si>
    <t xml:space="preserve">Chevrolet Silverado (2014-15) </t>
  </si>
  <si>
    <t>PA4486</t>
  </si>
  <si>
    <t>WP10129</t>
  </si>
  <si>
    <t>038568743244</t>
  </si>
  <si>
    <t>10038568743241</t>
  </si>
  <si>
    <t>CAF1920P</t>
  </si>
  <si>
    <t>Jaguar XF Series (2009-15) (Jaguar )</t>
  </si>
  <si>
    <t>038568743350</t>
  </si>
  <si>
    <t>10038568743357</t>
  </si>
  <si>
    <t>CAF1893P</t>
  </si>
  <si>
    <t xml:space="preserve">Hyundai Elantra Touring Station Wagon (2010-12)  </t>
  </si>
  <si>
    <t>Hyundai</t>
  </si>
  <si>
    <t>08790-2L000-A</t>
  </si>
  <si>
    <t>CF11666</t>
  </si>
  <si>
    <t>CAF1893</t>
  </si>
  <si>
    <t>WCAF1893</t>
  </si>
  <si>
    <t>038568743251</t>
  </si>
  <si>
    <t>10038568743258</t>
  </si>
  <si>
    <t>CAF1930C</t>
  </si>
  <si>
    <t xml:space="preserve">Audi A8, A8L (2004-10), S8 (2007-09)  </t>
  </si>
  <si>
    <t>Volkswagen</t>
  </si>
  <si>
    <t>4E0-819-439A</t>
  </si>
  <si>
    <t>C36076C</t>
  </si>
  <si>
    <t>038568743374</t>
  </si>
  <si>
    <t>10038568743371</t>
  </si>
  <si>
    <t>CAF1880P</t>
  </si>
  <si>
    <t xml:space="preserve">Hyundai Azera (2010-11) </t>
  </si>
  <si>
    <t>08790-2G000A</t>
  </si>
  <si>
    <t>CF10896</t>
  </si>
  <si>
    <t>C36157</t>
  </si>
  <si>
    <t>WCAF1880</t>
  </si>
  <si>
    <t>038568743053</t>
  </si>
  <si>
    <t>10038568743838</t>
  </si>
  <si>
    <t>CAF1937P</t>
  </si>
  <si>
    <t>Mazda Millenia (2001-02)</t>
  </si>
  <si>
    <t>Mazda</t>
  </si>
  <si>
    <t>TA05-61-J6X</t>
  </si>
  <si>
    <t>PA4406 KIT</t>
  </si>
  <si>
    <t>C35550</t>
  </si>
  <si>
    <t>038568743190</t>
  </si>
  <si>
    <t>10038568743197</t>
  </si>
  <si>
    <t>AF3178</t>
  </si>
  <si>
    <t>Air Filter, Flex</t>
  </si>
  <si>
    <t xml:space="preserve">Cadillac ATS (2013-16) </t>
  </si>
  <si>
    <t>A3178C</t>
  </si>
  <si>
    <t>CA11494</t>
  </si>
  <si>
    <t>A58153</t>
  </si>
  <si>
    <t>AF8153</t>
  </si>
  <si>
    <t>WAF3178</t>
  </si>
  <si>
    <t>038568743749</t>
  </si>
  <si>
    <t>10038568743746</t>
  </si>
  <si>
    <t>P984</t>
  </si>
  <si>
    <t>Oil Filter, Cartridge</t>
  </si>
  <si>
    <t xml:space="preserve">Audi Q7 (2009-12), Volkswagen Touareg (2009-12)  </t>
  </si>
  <si>
    <t xml:space="preserve"> 057-115-561M</t>
  </si>
  <si>
    <t>LF17485</t>
  </si>
  <si>
    <t>038568742964</t>
  </si>
  <si>
    <t>10038568742961</t>
  </si>
  <si>
    <t>Austria</t>
  </si>
  <si>
    <t>P1013</t>
  </si>
  <si>
    <t xml:space="preserve">Mercedes GLK250 (2013) </t>
  </si>
  <si>
    <t>038568742933</t>
  </si>
  <si>
    <t>10038568742930</t>
  </si>
  <si>
    <t>Korea</t>
  </si>
  <si>
    <t>P1015</t>
  </si>
  <si>
    <t xml:space="preserve">Chevrolet Cruze Diesel (2014-15)  </t>
  </si>
  <si>
    <t>038568742780</t>
  </si>
  <si>
    <t>10038568742787</t>
  </si>
  <si>
    <t>P1019</t>
  </si>
  <si>
    <t xml:space="preserve">Audi A8 V8 4.0L (2013) </t>
  </si>
  <si>
    <t>079-198-405D</t>
  </si>
  <si>
    <t>038568742889</t>
  </si>
  <si>
    <t>10038568742886</t>
  </si>
  <si>
    <t>P1014</t>
  </si>
  <si>
    <t xml:space="preserve">Jeep Grand Cherokee Diesel (2014)  </t>
  </si>
  <si>
    <t>Chrysler</t>
  </si>
  <si>
    <t>68109834AA</t>
  </si>
  <si>
    <t>P7417</t>
  </si>
  <si>
    <t>CH11794</t>
  </si>
  <si>
    <t>L38157</t>
  </si>
  <si>
    <t>WP1014</t>
  </si>
  <si>
    <t>038568742926</t>
  </si>
  <si>
    <t>10038568742923</t>
  </si>
  <si>
    <t>P1027</t>
  </si>
  <si>
    <t xml:space="preserve">2015 Hyundia Genesis V8 5.0L </t>
  </si>
  <si>
    <t>26320-3F500</t>
  </si>
  <si>
    <t>WP1027</t>
  </si>
  <si>
    <t>WL10067</t>
  </si>
  <si>
    <t>10038568743050</t>
  </si>
  <si>
    <t>LFP9279</t>
  </si>
  <si>
    <t>Oil Filter, Spin-On</t>
  </si>
  <si>
    <t>John Deere 6068 PowerTech  PVX Tier 4 engine</t>
  </si>
  <si>
    <t>John Deere</t>
  </si>
  <si>
    <t>RE539279</t>
  </si>
  <si>
    <t>P551910</t>
  </si>
  <si>
    <t>038568738462</t>
  </si>
  <si>
    <t>10038568738469</t>
  </si>
  <si>
    <t>1 Unit Box = 1 Carton</t>
  </si>
  <si>
    <t>AF5220</t>
  </si>
  <si>
    <t>Air Filter, Rigid</t>
  </si>
  <si>
    <t>2013 Nissan Altima 2.5L</t>
  </si>
  <si>
    <t>16546-3TA0A</t>
  </si>
  <si>
    <t>CA11450</t>
  </si>
  <si>
    <t>AF1559</t>
  </si>
  <si>
    <t>AF46297</t>
  </si>
  <si>
    <t>P992</t>
  </si>
  <si>
    <t>2011-12 MERCEDES CL550 V8 4.7L</t>
  </si>
  <si>
    <t>Mercedes Benz</t>
  </si>
  <si>
    <t>France</t>
  </si>
  <si>
    <t>038568742377</t>
  </si>
  <si>
    <t>10038568742374</t>
  </si>
  <si>
    <t>AF5224</t>
  </si>
  <si>
    <t>2013 Hyundia Santa Fe Sport</t>
  </si>
  <si>
    <t>28113-2W100</t>
  </si>
  <si>
    <t>CA11500</t>
  </si>
  <si>
    <t>038568743572</t>
  </si>
  <si>
    <t>10038568743579</t>
  </si>
  <si>
    <t>CAF1896P</t>
  </si>
  <si>
    <t xml:space="preserve">Fiat 500 (2012-15) </t>
  </si>
  <si>
    <t>Fiat</t>
  </si>
  <si>
    <t>68096453AA</t>
  </si>
  <si>
    <t>C26185</t>
  </si>
  <si>
    <t>WCAF1896</t>
  </si>
  <si>
    <t>038568743565</t>
  </si>
  <si>
    <t>10038568743562</t>
  </si>
  <si>
    <t>CAF1900P</t>
  </si>
  <si>
    <t>2012 Ford Focus</t>
  </si>
  <si>
    <t>1FADP3FE0FL215358</t>
  </si>
  <si>
    <t>CF11920</t>
  </si>
  <si>
    <t>FP-70</t>
  </si>
  <si>
    <t>C36174</t>
  </si>
  <si>
    <t>038568743589</t>
  </si>
  <si>
    <t>10038568743586</t>
  </si>
  <si>
    <t>CAF1901C</t>
  </si>
  <si>
    <t>2011-12 Infiniti M37, 2015 Infiniti Q70</t>
  </si>
  <si>
    <t>Infiniti</t>
  </si>
  <si>
    <t>27277-1ME0B</t>
  </si>
  <si>
    <t>038568743183</t>
  </si>
  <si>
    <t>10038568743180</t>
  </si>
  <si>
    <t>CAF1910P</t>
  </si>
  <si>
    <t>2013 Scion IQ</t>
  </si>
  <si>
    <t>Toyota</t>
  </si>
  <si>
    <t>88568-74010</t>
  </si>
  <si>
    <t>WP10073</t>
  </si>
  <si>
    <t>038568743299</t>
  </si>
  <si>
    <t>10038568743296</t>
  </si>
  <si>
    <t>CAF1912C</t>
  </si>
  <si>
    <t>2011-14 Audi A8; 2012-14 Audi A6, A7 TWO PER APPLICATION</t>
  </si>
  <si>
    <t>VW / Audi</t>
  </si>
  <si>
    <t>4H0-819-439</t>
  </si>
  <si>
    <t>038568743442</t>
  </si>
  <si>
    <t>10038568743449</t>
  </si>
  <si>
    <t>CAF1932P</t>
  </si>
  <si>
    <t>2010-12 Suzuki Kizashi</t>
  </si>
  <si>
    <t>Suzuki</t>
  </si>
  <si>
    <t xml:space="preserve"> 95861-57L00</t>
  </si>
  <si>
    <t>038568743176</t>
  </si>
  <si>
    <t>10038568743173</t>
  </si>
  <si>
    <t>CAF1936P</t>
  </si>
  <si>
    <t>2002-05 Land Rover Freelander</t>
  </si>
  <si>
    <t>Land Rover</t>
  </si>
  <si>
    <t>LR JKR100280</t>
  </si>
  <si>
    <t>038568743336</t>
  </si>
  <si>
    <t>10038568743333</t>
  </si>
  <si>
    <t>P1024</t>
  </si>
  <si>
    <t>2007-12 Mercedes SLK55</t>
  </si>
  <si>
    <t>HU715/6x</t>
  </si>
  <si>
    <t>038568743060</t>
  </si>
  <si>
    <t>10038568743067</t>
  </si>
  <si>
    <t>038568743497</t>
  </si>
  <si>
    <t>10038568743494</t>
  </si>
  <si>
    <t>LFF6013</t>
  </si>
  <si>
    <t>Chevrolet Express Van, GMC Savana Van  V8 6.6L Diesel (2009-13)</t>
  </si>
  <si>
    <t>BF9918 KIT</t>
  </si>
  <si>
    <t>K10489A</t>
  </si>
  <si>
    <t>F75888</t>
  </si>
  <si>
    <t>TP1537</t>
  </si>
  <si>
    <t>038568743619</t>
  </si>
  <si>
    <t>10038568743616</t>
  </si>
  <si>
    <t>AF5193</t>
  </si>
  <si>
    <t>AIR FILTER</t>
  </si>
  <si>
    <t>Infiniti QX56 (2011-13) (Nissan 16546-1LA04)</t>
  </si>
  <si>
    <t xml:space="preserve"> 16546-1LA04</t>
  </si>
  <si>
    <t>CA11002</t>
  </si>
  <si>
    <t>33-2456</t>
  </si>
  <si>
    <t>SA11002</t>
  </si>
  <si>
    <t>WAF5193</t>
  </si>
  <si>
    <t xml:space="preserve">038568742452 </t>
  </si>
  <si>
    <t>LMB1002</t>
  </si>
  <si>
    <t xml:space="preserve">Base for F/W Separator-1/2-NPT </t>
  </si>
  <si>
    <t>Base for F/W Separator-1/2-NPT (Mounting base for LFP944F, LFF8010 and  LFP815FN)</t>
  </si>
  <si>
    <t>FB1301</t>
  </si>
  <si>
    <t>3833199S</t>
  </si>
  <si>
    <t>WL10008</t>
  </si>
  <si>
    <t>038568739810</t>
  </si>
  <si>
    <t>CAF1911P</t>
  </si>
  <si>
    <t>CABIN AIR FILTER</t>
  </si>
  <si>
    <t xml:space="preserve">Jeep Wrangler (2012-15) </t>
  </si>
  <si>
    <t>55111302AA</t>
  </si>
  <si>
    <t>PA4460 KIT</t>
  </si>
  <si>
    <t>038568743237</t>
  </si>
  <si>
    <t>CAF1927C</t>
  </si>
  <si>
    <t>BMW M3 (2008-11)</t>
  </si>
  <si>
    <t>038568743459</t>
  </si>
  <si>
    <t>CAF1860C</t>
  </si>
  <si>
    <t>Mercedes-Benz GL Series, R Series, ML Series  (2006-13)  Dust and Odor</t>
  </si>
  <si>
    <t>Mercedes-Benz</t>
  </si>
  <si>
    <t>038568743541</t>
  </si>
  <si>
    <t>CAF1934P</t>
  </si>
  <si>
    <t>Honda S2000 (2000-09)</t>
  </si>
  <si>
    <t>79831-S2A-003</t>
  </si>
  <si>
    <t xml:space="preserve">038568743206 </t>
  </si>
  <si>
    <t xml:space="preserve">Scion iQ (2012-16)  </t>
  </si>
  <si>
    <t>Scion</t>
  </si>
  <si>
    <t>CAF1898P</t>
  </si>
  <si>
    <t xml:space="preserve">Chrysler 300 (2011-14), Dodge Charger,  Challenger (2011-14) </t>
  </si>
  <si>
    <t xml:space="preserve"> 68071668AA</t>
  </si>
  <si>
    <t>CF11668</t>
  </si>
  <si>
    <t>C26176</t>
  </si>
  <si>
    <t>WCAF1898</t>
  </si>
  <si>
    <t xml:space="preserve">038568743558 </t>
  </si>
  <si>
    <t>CAF7737</t>
  </si>
  <si>
    <t>Saab 95 Series (1999-09)</t>
  </si>
  <si>
    <t>Saab</t>
  </si>
  <si>
    <t>CAF1737</t>
  </si>
  <si>
    <t>C28165</t>
  </si>
  <si>
    <t>038568743411</t>
  </si>
  <si>
    <t>L6267F</t>
  </si>
  <si>
    <t>FUEL FILTER</t>
  </si>
  <si>
    <t>Caterpillar late model backhoes, Caterpillar 3619555;236B3, 242B3, 252B3,  and 257B3 skid steer loader</t>
  </si>
  <si>
    <t xml:space="preserve">Caterpillar </t>
  </si>
  <si>
    <t>BF9847-D</t>
  </si>
  <si>
    <t>P551432</t>
  </si>
  <si>
    <t>FS20050</t>
  </si>
  <si>
    <t>WF10053</t>
  </si>
  <si>
    <t>038568740427</t>
  </si>
  <si>
    <t>LFP7174</t>
  </si>
  <si>
    <t>OIL FILTER</t>
  </si>
  <si>
    <t>Iveco Euro Tech Truck with Cursor engine</t>
  </si>
  <si>
    <t>Iveco</t>
  </si>
  <si>
    <t xml:space="preserve">038568738158 </t>
  </si>
  <si>
    <t>PH2873</t>
  </si>
  <si>
    <t>PH11462</t>
  </si>
  <si>
    <t>OF6291</t>
  </si>
  <si>
    <t>WPH2873</t>
  </si>
  <si>
    <t>P2062</t>
  </si>
  <si>
    <t>2015 Ford F150 with 2.7L Ecoboost engine</t>
  </si>
  <si>
    <t>FT4Z-6731-A</t>
  </si>
  <si>
    <t>CH11955</t>
  </si>
  <si>
    <t>L38154</t>
  </si>
  <si>
    <t>S11955</t>
  </si>
  <si>
    <t>CF8154</t>
  </si>
  <si>
    <t>WP2062</t>
  </si>
  <si>
    <t>038568743015</t>
  </si>
  <si>
    <t>2007-11 Mercedes SLK w/5.5L V8</t>
  </si>
  <si>
    <t>113 184 0225</t>
  </si>
  <si>
    <t>0001802809</t>
  </si>
  <si>
    <t>CH11051</t>
  </si>
  <si>
    <t>L35906</t>
  </si>
  <si>
    <t>LP4083</t>
  </si>
  <si>
    <t xml:space="preserve">International </t>
  </si>
  <si>
    <t>International</t>
  </si>
  <si>
    <t>1842825C91</t>
  </si>
  <si>
    <t>BC7394</t>
  </si>
  <si>
    <t>CS41013</t>
  </si>
  <si>
    <t>P10012</t>
  </si>
  <si>
    <t>038568741578</t>
  </si>
  <si>
    <t>AF3926</t>
  </si>
  <si>
    <t xml:space="preserve"> BMW M3 V8 4.0L (2010-13) </t>
  </si>
  <si>
    <t>CA11004</t>
  </si>
  <si>
    <t>A55893</t>
  </si>
  <si>
    <t xml:space="preserve">038568742445 </t>
  </si>
  <si>
    <t>Germany</t>
  </si>
  <si>
    <t>P1008</t>
  </si>
  <si>
    <t>Volkswagen Tourage Diesel (2013-14)</t>
  </si>
  <si>
    <t>059-115-561D</t>
  </si>
  <si>
    <t xml:space="preserve">038568743008 </t>
  </si>
  <si>
    <t>P1034</t>
  </si>
  <si>
    <t xml:space="preserve">Mercedes CLK63 AMG, CLS63 AMG, SL63 (2007-13) </t>
  </si>
  <si>
    <t xml:space="preserve"> 038568743022 </t>
  </si>
  <si>
    <t>AF5212</t>
  </si>
  <si>
    <t xml:space="preserve">2008-14 Lexus GS Series </t>
  </si>
  <si>
    <t>Lexus</t>
  </si>
  <si>
    <t>17801-31170</t>
  </si>
  <si>
    <t>CA10996</t>
  </si>
  <si>
    <t>AF1567</t>
  </si>
  <si>
    <t>33-2452</t>
  </si>
  <si>
    <t>A36103</t>
  </si>
  <si>
    <t>038568742469</t>
  </si>
  <si>
    <t>AF3615</t>
  </si>
  <si>
    <t xml:space="preserve">Land Rover Evoque (2012-15) </t>
  </si>
  <si>
    <t>LR029078</t>
  </si>
  <si>
    <t>CA11485</t>
  </si>
  <si>
    <t>C29006</t>
  </si>
  <si>
    <t>SA11485</t>
  </si>
  <si>
    <t>WA10007</t>
  </si>
  <si>
    <t>038568742520</t>
  </si>
  <si>
    <t xml:space="preserve">Nissan Altima 2.5L (2013-14) </t>
  </si>
  <si>
    <t>4627127AB</t>
  </si>
  <si>
    <t>CA11451</t>
  </si>
  <si>
    <t>AF1560</t>
  </si>
  <si>
    <t>33-2479</t>
  </si>
  <si>
    <t>A46298</t>
  </si>
  <si>
    <t>SA11451</t>
  </si>
  <si>
    <t>WAF5220</t>
  </si>
  <si>
    <t xml:space="preserve">038568742377 </t>
  </si>
  <si>
    <t>AF3609</t>
  </si>
  <si>
    <t xml:space="preserve">Land Rover LR4, Range Rover  (2010-2012) </t>
  </si>
  <si>
    <t>LR011593</t>
  </si>
  <si>
    <t>CA11062</t>
  </si>
  <si>
    <t>AF1570</t>
  </si>
  <si>
    <t>C35126</t>
  </si>
  <si>
    <t xml:space="preserve"> 038568742421</t>
  </si>
  <si>
    <t>AF7904</t>
  </si>
  <si>
    <t>Mercedes C63,CLK63 AMG, CLS63 AMG (2007-12)</t>
  </si>
  <si>
    <t>CA11063</t>
  </si>
  <si>
    <t>AF1467</t>
  </si>
  <si>
    <t>33-2405</t>
  </si>
  <si>
    <t>C3361-2</t>
  </si>
  <si>
    <t>A25806</t>
  </si>
  <si>
    <t>038568742506</t>
  </si>
  <si>
    <t>AF3184</t>
  </si>
  <si>
    <t xml:space="preserve">PV  </t>
  </si>
  <si>
    <t>AIR</t>
  </si>
  <si>
    <t>2013-14 Buick Encore</t>
  </si>
  <si>
    <t>CA11501</t>
  </si>
  <si>
    <t>038568742407</t>
  </si>
  <si>
    <t>AF5213</t>
  </si>
  <si>
    <t xml:space="preserve">2013-14 Hyundai Genesis Coupe </t>
  </si>
  <si>
    <t>28113-2M200</t>
  </si>
  <si>
    <t>CA11420</t>
  </si>
  <si>
    <t>038568742339</t>
  </si>
  <si>
    <t>LK372V</t>
  </si>
  <si>
    <t>MAINT. KIT</t>
  </si>
  <si>
    <t xml:space="preserve">Maintenance Kit  for Detroit Diesel DD11, DD13 &amp; DD16 engines. Kit to include: qty.(2) LFP3191 + (1) LFP8642 + (1) LFF8059 + (1) LFF3358. </t>
  </si>
  <si>
    <t>038568742902</t>
  </si>
  <si>
    <t>USA and China</t>
  </si>
  <si>
    <t>AF9912</t>
  </si>
  <si>
    <t xml:space="preserve">2013-14 Ford Fusion </t>
  </si>
  <si>
    <t>DS7Z-9601-A</t>
  </si>
  <si>
    <t>FA1912</t>
  </si>
  <si>
    <t>CA11480</t>
  </si>
  <si>
    <t>AF1557</t>
  </si>
  <si>
    <t>A36272</t>
  </si>
  <si>
    <t>WA10048</t>
  </si>
  <si>
    <t>038568316035</t>
  </si>
  <si>
    <t>LFF6753</t>
  </si>
  <si>
    <t>FUEL</t>
  </si>
  <si>
    <t>John Deere Applications; Volvo EC290B, EC160B Excavators</t>
  </si>
  <si>
    <t>RE522684</t>
  </si>
  <si>
    <t>RE522688</t>
  </si>
  <si>
    <t>BF7853</t>
  </si>
  <si>
    <t>P550659</t>
  </si>
  <si>
    <t>FS19700</t>
  </si>
  <si>
    <t>PS10967</t>
  </si>
  <si>
    <t xml:space="preserve">038568738264 </t>
  </si>
  <si>
    <t>AF3105</t>
  </si>
  <si>
    <t>Cadillac CTS (2009-12)</t>
  </si>
  <si>
    <t>CA11054</t>
  </si>
  <si>
    <t>038568742391</t>
  </si>
  <si>
    <t>AF3221</t>
  </si>
  <si>
    <t>BMW X5 Diesel (2009-13)</t>
  </si>
  <si>
    <t>CA11013</t>
  </si>
  <si>
    <t>AF1552</t>
  </si>
  <si>
    <t>A25899</t>
  </si>
  <si>
    <t>49342</t>
  </si>
  <si>
    <t xml:space="preserve"> 038568742414</t>
  </si>
  <si>
    <t>AF5215</t>
  </si>
  <si>
    <t>Kia Sportage 2.0L turbo (2011-14)</t>
  </si>
  <si>
    <t>Kia</t>
  </si>
  <si>
    <t>281133W500</t>
  </si>
  <si>
    <t>CA11421</t>
  </si>
  <si>
    <t>A28152</t>
  </si>
  <si>
    <t>49047</t>
  </si>
  <si>
    <t>038568316059</t>
  </si>
  <si>
    <t>AF5698</t>
  </si>
  <si>
    <t>Mercedes C250 (2012-14)</t>
  </si>
  <si>
    <t>CA11453</t>
  </si>
  <si>
    <t>038568742483</t>
  </si>
  <si>
    <t>AF7922</t>
  </si>
  <si>
    <t xml:space="preserve">BMW 135i, 335i, 335i XDrive, X5 (2011-15) </t>
  </si>
  <si>
    <t>038568742513</t>
  </si>
  <si>
    <t>LH11014V</t>
  </si>
  <si>
    <t>HYDRAULIC</t>
  </si>
  <si>
    <t xml:space="preserve">Parker </t>
  </si>
  <si>
    <t>Parker</t>
  </si>
  <si>
    <t>938323Q</t>
  </si>
  <si>
    <t>P171702</t>
  </si>
  <si>
    <t>D75A10GAV</t>
  </si>
  <si>
    <t>038568741783 </t>
  </si>
  <si>
    <t>10038568741780</t>
  </si>
  <si>
    <t>Canada</t>
  </si>
  <si>
    <t>LH9240V</t>
  </si>
  <si>
    <t>MF0301P10NB</t>
  </si>
  <si>
    <t>PT9240</t>
  </si>
  <si>
    <t>R16C10CB</t>
  </si>
  <si>
    <t>038568741813</t>
  </si>
  <si>
    <t>10038568741810</t>
  </si>
  <si>
    <t>LH11008V</t>
  </si>
  <si>
    <t>J.C.B 801.4, 801.5, 801.6  MP Filtri   Excavators</t>
  </si>
  <si>
    <t>MF1002A10NB</t>
  </si>
  <si>
    <t>JCB</t>
  </si>
  <si>
    <t>PT8989-MPG</t>
  </si>
  <si>
    <t>P171531</t>
  </si>
  <si>
    <t>HF35203</t>
  </si>
  <si>
    <t>R18C10GB</t>
  </si>
  <si>
    <t>038568741875</t>
  </si>
  <si>
    <t>10038568741872</t>
  </si>
  <si>
    <t>LH11041V</t>
  </si>
  <si>
    <t>Internormen</t>
  </si>
  <si>
    <t xml:space="preserve"> 01NL25010VG30EV</t>
  </si>
  <si>
    <t>D59E10GAV</t>
  </si>
  <si>
    <t>LP5730</t>
  </si>
  <si>
    <t xml:space="preserve">OIL </t>
  </si>
  <si>
    <t>Mitsubishi QC000001; 2012-on Mitsubishi Fuso  Canter 3.0L 4P10 eng.</t>
  </si>
  <si>
    <t>Mitsubishi</t>
  </si>
  <si>
    <t>QC000001</t>
  </si>
  <si>
    <t>038568741554</t>
  </si>
  <si>
    <t>PH820M</t>
  </si>
  <si>
    <t xml:space="preserve">Ford Products (1991-15), Mazda (2000-09),  Chrysler, Dodge V6 &amp; V8 (2008-14)  </t>
  </si>
  <si>
    <t>4884899AB</t>
  </si>
  <si>
    <t>F1AZ-6731-BD</t>
  </si>
  <si>
    <t>B329</t>
  </si>
  <si>
    <t>P550965</t>
  </si>
  <si>
    <t>LF3681</t>
  </si>
  <si>
    <t>PH2</t>
  </si>
  <si>
    <t>038568742179</t>
  </si>
  <si>
    <t>PH400M</t>
  </si>
  <si>
    <t xml:space="preserve">Chrysler Products (2002-09), Ford Products  (1971-09), Jaguar X Type (2000-08), Mazda 6  (2009-13), CX9 (2007-14)  </t>
  </si>
  <si>
    <t>E1EE-6714-AA</t>
  </si>
  <si>
    <t>FL-400A</t>
  </si>
  <si>
    <t>B243</t>
  </si>
  <si>
    <t>P550724</t>
  </si>
  <si>
    <t>LF3555</t>
  </si>
  <si>
    <t>PH3600</t>
  </si>
  <si>
    <t>038568742230</t>
  </si>
  <si>
    <t>Models with metal end caps</t>
  </si>
  <si>
    <t>LAF1482</t>
  </si>
  <si>
    <t>Generac Generator Sets w/GT990 eng</t>
  </si>
  <si>
    <t>Generac</t>
  </si>
  <si>
    <t>OC8127</t>
  </si>
  <si>
    <t>AF27969</t>
  </si>
  <si>
    <t>038568740403</t>
  </si>
  <si>
    <t>India</t>
  </si>
  <si>
    <t>CAF24024</t>
  </si>
  <si>
    <t>CABIN AIR</t>
  </si>
  <si>
    <t>Paccar Applications: 2010- Peterbilt 386 388 365 TRUCKS</t>
  </si>
  <si>
    <t>Paccar</t>
  </si>
  <si>
    <t>5S013817</t>
  </si>
  <si>
    <t>PA5765</t>
  </si>
  <si>
    <t>038568741547</t>
  </si>
  <si>
    <t>AF5209</t>
  </si>
  <si>
    <t xml:space="preserve">Chevrolet Sonic (2012-2014) </t>
  </si>
  <si>
    <t>CA11222</t>
  </si>
  <si>
    <t>33-2476</t>
  </si>
  <si>
    <t>A26273</t>
  </si>
  <si>
    <t>SA11222</t>
  </si>
  <si>
    <t>AF6273</t>
  </si>
  <si>
    <t>WAF5209</t>
  </si>
  <si>
    <t>038568742346</t>
  </si>
  <si>
    <t>LH2512</t>
  </si>
  <si>
    <t xml:space="preserve">HYDRAULIC </t>
  </si>
  <si>
    <t>Volvo Applications: Fits Volvo I Shift trans used on Volvo and Mack trucks</t>
  </si>
  <si>
    <t>Volvo</t>
  </si>
  <si>
    <t>AT2512C</t>
  </si>
  <si>
    <t>PT9417</t>
  </si>
  <si>
    <t>P550633</t>
  </si>
  <si>
    <t>HF35361</t>
  </si>
  <si>
    <t>E28HD174</t>
  </si>
  <si>
    <t>038568737991</t>
  </si>
  <si>
    <t>LAF5327</t>
  </si>
  <si>
    <t>Komatsu WA400-5, WA400-5L,  WA400-5WH Loaders</t>
  </si>
  <si>
    <t>Komatsu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</si>
  <si>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</si>
  <si>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</si>
  <si>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</si>
  <si>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</si>
  <si>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</si>
  <si>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</si>
  <si>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</si>
  <si>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 Kit; Contains: 1-LP5090, 1-L5091F,  1- LW4076XL</t>
  </si>
  <si>
    <t>Detroit Diesel</t>
  </si>
  <si>
    <t>038568739964</t>
  </si>
  <si>
    <t>Germany &amp; Japan</t>
  </si>
  <si>
    <t>AF5219</t>
  </si>
  <si>
    <t>2013-14 Dodge Dart</t>
  </si>
  <si>
    <t>PA4473</t>
  </si>
  <si>
    <t>CA11431</t>
  </si>
  <si>
    <t>AF1566</t>
  </si>
  <si>
    <t>A26281</t>
  </si>
  <si>
    <t>WA10008</t>
  </si>
  <si>
    <t>038568742353</t>
  </si>
  <si>
    <t>AF6910</t>
  </si>
  <si>
    <t xml:space="preserve">2013-2014 Ford Escape 2.5 L </t>
  </si>
  <si>
    <t>CJ5Z-9601-A</t>
  </si>
  <si>
    <t>FA-1910</t>
  </si>
  <si>
    <t>PA4470</t>
  </si>
  <si>
    <t>CA11456</t>
  </si>
  <si>
    <t>AF1556</t>
  </si>
  <si>
    <t>A26199</t>
  </si>
  <si>
    <t>038568742360</t>
  </si>
  <si>
    <t>LFF6961</t>
  </si>
  <si>
    <t>John Deere Applications: John Deere 8000 series tractors and 9760,9660 combines"</t>
  </si>
  <si>
    <t>RE522372</t>
  </si>
  <si>
    <t>RE509596</t>
  </si>
  <si>
    <t>BF1353-SPS</t>
  </si>
  <si>
    <t>FS19688</t>
  </si>
  <si>
    <t>33692</t>
  </si>
  <si>
    <t>038568740298</t>
  </si>
  <si>
    <t>LAF5453</t>
  </si>
  <si>
    <t>John Deere Application: John Deere 6120, 6215, 6415 Tractors.</t>
  </si>
  <si>
    <t>AL119839</t>
  </si>
  <si>
    <t>CA4702</t>
  </si>
  <si>
    <t>P606119</t>
  </si>
  <si>
    <t>AF26157</t>
  </si>
  <si>
    <t>CA11029</t>
  </si>
  <si>
    <t>46937</t>
  </si>
  <si>
    <t>038568736529</t>
  </si>
  <si>
    <t>LAF3233FR</t>
  </si>
  <si>
    <t>2012- Freightliner 114SD  truck  FLAME RETARDANT VERSION OF LAF3233</t>
  </si>
  <si>
    <t>Freightliner M2 Series</t>
  </si>
  <si>
    <t>CA5420</t>
  </si>
  <si>
    <t>P607960</t>
  </si>
  <si>
    <t>038568738448</t>
  </si>
  <si>
    <t>LAF5298</t>
  </si>
  <si>
    <t xml:space="preserve">JOHN DEERE Applications: John Deere 7220 7320 7420 7530 tractors.  </t>
  </si>
  <si>
    <t>AL172781</t>
  </si>
  <si>
    <t>CA4703</t>
  </si>
  <si>
    <t>P606120</t>
  </si>
  <si>
    <t>AF26156</t>
  </si>
  <si>
    <t>42794</t>
  </si>
  <si>
    <t>038568738417</t>
  </si>
  <si>
    <t>LAF5416</t>
  </si>
  <si>
    <t xml:space="preserve">John Deere Applications: John Deere 318D 319D 320D and 5045/5055 tractors. </t>
  </si>
  <si>
    <t>RE282286</t>
  </si>
  <si>
    <t>PA5634</t>
  </si>
  <si>
    <t>P609221</t>
  </si>
  <si>
    <t>49221</t>
  </si>
  <si>
    <t>038568738554</t>
  </si>
  <si>
    <t>LAF2753</t>
  </si>
  <si>
    <t>Ford F650 &amp; 750 Trucks  2004 -</t>
  </si>
  <si>
    <t>4C4Z-9601-AA</t>
  </si>
  <si>
    <t>FA1753</t>
  </si>
  <si>
    <t>CA5366</t>
  </si>
  <si>
    <t>P609086</t>
  </si>
  <si>
    <t>AF26493</t>
  </si>
  <si>
    <t>CA10868</t>
  </si>
  <si>
    <t>42813</t>
  </si>
  <si>
    <t xml:space="preserve">038568738561 </t>
  </si>
  <si>
    <t>9,75</t>
  </si>
  <si>
    <t>LAF9334</t>
  </si>
  <si>
    <t>John Deere Applications: John Deere 7720,7820,7920,7630,7730,7830,7930 tractors"</t>
  </si>
  <si>
    <t>RE196945</t>
  </si>
  <si>
    <t>CA5417</t>
  </si>
  <si>
    <t>P619334</t>
  </si>
  <si>
    <t>49945</t>
  </si>
  <si>
    <t>038568739797</t>
  </si>
  <si>
    <t>LAF8791</t>
  </si>
  <si>
    <t>Hitachi &amp; Komatsu Equipment</t>
  </si>
  <si>
    <t>Hitachi</t>
  </si>
  <si>
    <t>4234793</t>
  </si>
  <si>
    <t>17M9113530</t>
  </si>
  <si>
    <t>PA5328</t>
  </si>
  <si>
    <t>AF25573</t>
  </si>
  <si>
    <t>PA11380</t>
  </si>
  <si>
    <t>038568742131</t>
  </si>
  <si>
    <t>LFP3830</t>
  </si>
  <si>
    <t xml:space="preserve">Mercruiser 4 and 6 cyl outboard marine engines; 2006 and newer Verado 135-200 4 stroke engine. </t>
  </si>
  <si>
    <t>Mercruiser</t>
  </si>
  <si>
    <t>35-877767K01</t>
  </si>
  <si>
    <t>35-877767Q01</t>
  </si>
  <si>
    <t xml:space="preserve">038568738226 </t>
  </si>
  <si>
    <t>Filter is individually poly bagged</t>
  </si>
  <si>
    <t>LFH8484</t>
  </si>
  <si>
    <t>Hydraulic Filter Element</t>
  </si>
  <si>
    <t>Kalmar; Terex, New Holland LM5040,  LM5060, LM5080 Telehandlers</t>
  </si>
  <si>
    <t>Dana</t>
  </si>
  <si>
    <t>4209440</t>
  </si>
  <si>
    <t>Kalmar</t>
  </si>
  <si>
    <t>Terex</t>
  </si>
  <si>
    <t>PPMTFC45H</t>
  </si>
  <si>
    <t>BT9400-MPG</t>
  </si>
  <si>
    <t>P765075</t>
  </si>
  <si>
    <t>HF35464</t>
  </si>
  <si>
    <t>57227</t>
  </si>
  <si>
    <t>038568737984</t>
  </si>
  <si>
    <t>LFF9897</t>
  </si>
  <si>
    <t xml:space="preserve"> Liebherr excavators and John Deere 950J and 1050J dozers</t>
  </si>
  <si>
    <t>Liebherr</t>
  </si>
  <si>
    <t>10044303</t>
  </si>
  <si>
    <t>Racor</t>
  </si>
  <si>
    <t>R90DSRAC01</t>
  </si>
  <si>
    <t>Yanmar</t>
  </si>
  <si>
    <t>FS19897</t>
  </si>
  <si>
    <t>P11057</t>
  </si>
  <si>
    <t>WK1150</t>
  </si>
  <si>
    <t>038568738509</t>
  </si>
  <si>
    <t>LAF5756</t>
  </si>
  <si>
    <t>Komatsu Equipment</t>
  </si>
  <si>
    <t>77Z9700010</t>
  </si>
  <si>
    <t>PA4987</t>
  </si>
  <si>
    <t>P500204</t>
  </si>
  <si>
    <t>WP10057</t>
  </si>
  <si>
    <t>038568737618</t>
  </si>
  <si>
    <t>LAF3699</t>
  </si>
  <si>
    <t>Volvo L60E, L70E, L90E, L110E,  L120E Wheel Loaders (Cab air)</t>
  </si>
  <si>
    <t>11703980</t>
  </si>
  <si>
    <t>PA4991</t>
  </si>
  <si>
    <t>P500195</t>
  </si>
  <si>
    <t>AF26384</t>
  </si>
  <si>
    <t>038568737854</t>
  </si>
  <si>
    <t>LFF9954</t>
  </si>
  <si>
    <t>Thermo-King, Tier 4 SB130 &amp; SB230 Refrigeration Units</t>
  </si>
  <si>
    <t>Thermo-King</t>
  </si>
  <si>
    <t>11-9954</t>
  </si>
  <si>
    <t>038568740373</t>
  </si>
  <si>
    <t>10038568740370</t>
  </si>
  <si>
    <t>Not packaged into individual unit boxes</t>
  </si>
  <si>
    <t>Radial Seal Air Filter</t>
  </si>
  <si>
    <t>Carrier 1800, 2100, 2500 Regrigeration Units</t>
  </si>
  <si>
    <t>Carrier</t>
  </si>
  <si>
    <t>30-00471-20</t>
  </si>
  <si>
    <t>P604457</t>
  </si>
  <si>
    <t>038568740397</t>
  </si>
  <si>
    <t>10038568740394</t>
  </si>
  <si>
    <t>LAF6205</t>
  </si>
  <si>
    <t>Caterpillar C1.1 eng.</t>
  </si>
  <si>
    <t>246-5011</t>
  </si>
  <si>
    <t>038568737939</t>
  </si>
  <si>
    <t>10038568737936</t>
  </si>
  <si>
    <t>L6268F</t>
  </si>
  <si>
    <t>Caterpillar 414E and 416E backhoes</t>
  </si>
  <si>
    <t>038568740441</t>
  </si>
  <si>
    <t>10038568740448</t>
  </si>
  <si>
    <t>LFF6776</t>
  </si>
  <si>
    <t>Cummins ISX 11.9, 15L and 16L engines</t>
  </si>
  <si>
    <t>Cummins</t>
  </si>
  <si>
    <t>BF9885</t>
  </si>
  <si>
    <t>P555776</t>
  </si>
  <si>
    <t>FF5776</t>
  </si>
  <si>
    <t>038568738073</t>
  </si>
  <si>
    <t>10038568738070</t>
  </si>
  <si>
    <t>L5104F</t>
  </si>
  <si>
    <t>Mercedes 2013-14 DD13 engines</t>
  </si>
  <si>
    <t>A4720900451</t>
  </si>
  <si>
    <t>Knecht/Mahle</t>
  </si>
  <si>
    <t>KX276/9</t>
  </si>
  <si>
    <t>038568740236</t>
  </si>
  <si>
    <t>10038568740233</t>
  </si>
  <si>
    <t>LAF4340</t>
  </si>
  <si>
    <t>Set of 2 Cab Air Elements</t>
  </si>
  <si>
    <t xml:space="preserve">John Deere 7220, 7320, 7420 7520 Tractors </t>
  </si>
  <si>
    <t>AL119096</t>
  </si>
  <si>
    <t>AL119095</t>
  </si>
  <si>
    <t>PA3928</t>
  </si>
  <si>
    <t>P789129</t>
  </si>
  <si>
    <t>AF26672</t>
  </si>
  <si>
    <t>038568738400</t>
  </si>
  <si>
    <t>N/A</t>
  </si>
  <si>
    <t>0.3 cubic ft</t>
  </si>
  <si>
    <t>2.33lbs</t>
  </si>
  <si>
    <t>428lbs</t>
  </si>
  <si>
    <t>Great Britain</t>
  </si>
  <si>
    <t>LH9167</t>
  </si>
  <si>
    <t xml:space="preserve">MP Filtri  </t>
  </si>
  <si>
    <t>MF1002AP25NB</t>
  </si>
  <si>
    <t>PT9167</t>
  </si>
  <si>
    <t>P171534</t>
  </si>
  <si>
    <t>HF7904</t>
  </si>
  <si>
    <t>038568738455</t>
  </si>
  <si>
    <t>0.028 cubic ft</t>
  </si>
  <si>
    <t>1lbs</t>
  </si>
  <si>
    <t>490lbs</t>
  </si>
  <si>
    <t>U.S.A.</t>
  </si>
  <si>
    <t>LAF4179</t>
  </si>
  <si>
    <t xml:space="preserve">Mitsubishi FE, FG Series  Mitsubishi ME017233; Mitsubishi FE140 Trucks  Trucks  </t>
  </si>
  <si>
    <t>ME-017246</t>
  </si>
  <si>
    <t>ME-017233</t>
  </si>
  <si>
    <t>RS4806</t>
  </si>
  <si>
    <t>P500191</t>
  </si>
  <si>
    <t>AF27690</t>
  </si>
  <si>
    <t>CA9245</t>
  </si>
  <si>
    <t>42796</t>
  </si>
  <si>
    <t>038568737649</t>
  </si>
  <si>
    <t>10038568737646</t>
  </si>
  <si>
    <t>LAF4638</t>
  </si>
  <si>
    <t xml:space="preserve">Komatsu Dozers,Excavators, and Dump trucks.  Scania R  Series trucks.  </t>
  </si>
  <si>
    <t>RS4638</t>
  </si>
  <si>
    <t>P608885</t>
  </si>
  <si>
    <t>AF25627</t>
  </si>
  <si>
    <t>CA9966</t>
  </si>
  <si>
    <t>49770</t>
  </si>
  <si>
    <t>LAF5749</t>
  </si>
  <si>
    <t>Round Air Filter</t>
  </si>
  <si>
    <t>Kubota ZD326 and ZD331 mowers. Inner used with LAF5771</t>
  </si>
  <si>
    <t>Kubota</t>
  </si>
  <si>
    <t>K3181-82251</t>
  </si>
  <si>
    <t>RS3991</t>
  </si>
  <si>
    <t>P780018</t>
  </si>
  <si>
    <t>AF26388</t>
  </si>
  <si>
    <t>49968</t>
  </si>
  <si>
    <t>038568738431</t>
  </si>
  <si>
    <t>10038568738438</t>
  </si>
  <si>
    <t>LAF8878</t>
  </si>
  <si>
    <t>John Deere 9660STS Combine  (For Sec. air use LAF8879) (Radial Seal)</t>
  </si>
  <si>
    <t>AH212294</t>
  </si>
  <si>
    <t>RS5470</t>
  </si>
  <si>
    <t>P618930</t>
  </si>
  <si>
    <t>49294</t>
  </si>
  <si>
    <t>038568738370</t>
  </si>
  <si>
    <t>10038568738377</t>
  </si>
  <si>
    <t>LH7528</t>
  </si>
  <si>
    <t>International Cart. P/S on  International 3000 School Bus (2006-)</t>
  </si>
  <si>
    <t>1695528C1</t>
  </si>
  <si>
    <t>PT9419-MPG</t>
  </si>
  <si>
    <t>57528</t>
  </si>
  <si>
    <t>038568737977</t>
  </si>
  <si>
    <t>10038568737974</t>
  </si>
  <si>
    <t>LH4385-25</t>
  </si>
  <si>
    <t>HYDRAULIC FILTER</t>
  </si>
  <si>
    <t>Schroeder Applications; Bomag &amp; Schroeder Eqpt-Hydraulic cartridge.</t>
  </si>
  <si>
    <t>Behringher Fluid Systems</t>
  </si>
  <si>
    <t>BEHA25P</t>
  </si>
  <si>
    <t>PT727-HD</t>
  </si>
  <si>
    <t>P164816</t>
  </si>
  <si>
    <t>C3977</t>
  </si>
  <si>
    <t>HF837</t>
  </si>
  <si>
    <t>51435</t>
  </si>
  <si>
    <t>038568738486</t>
  </si>
  <si>
    <t>10038568738483</t>
  </si>
  <si>
    <t>LFH8417G</t>
  </si>
  <si>
    <t>Caterpillar TK371, TK381  Logging Equipment  (High eff. version of LFH8417)</t>
  </si>
  <si>
    <t>207-5035</t>
  </si>
  <si>
    <t>BT9560-MPG</t>
  </si>
  <si>
    <t>P573673</t>
  </si>
  <si>
    <t>038568737960</t>
  </si>
  <si>
    <t>10038568737967</t>
  </si>
  <si>
    <t>LFF9737</t>
  </si>
  <si>
    <t>Volvo contstuction equipment</t>
  </si>
  <si>
    <t>BF1363</t>
  </si>
  <si>
    <t>038568738356</t>
  </si>
  <si>
    <t>10038568738353</t>
  </si>
  <si>
    <t>LFF9772</t>
  </si>
  <si>
    <t>Case International Applications: Maxxum and Puma series tractors</t>
  </si>
  <si>
    <t>Case International</t>
  </si>
  <si>
    <t>BF1371</t>
  </si>
  <si>
    <t>FS19772</t>
  </si>
  <si>
    <t>038568737274</t>
  </si>
  <si>
    <t>10038568737271</t>
  </si>
  <si>
    <t>LFP6930</t>
  </si>
  <si>
    <t>John Deere 9330, 9430, 9530, 9630 Tractors  with PowerTech 13.5L engine (2007-)</t>
  </si>
  <si>
    <t>RE530107</t>
  </si>
  <si>
    <t>BD7353</t>
  </si>
  <si>
    <t>LF9032</t>
  </si>
  <si>
    <t>57307</t>
  </si>
  <si>
    <t>038568738424</t>
  </si>
  <si>
    <t>10038568738421</t>
  </si>
  <si>
    <t>LFF5686</t>
  </si>
  <si>
    <t>Cummins ISX engine (2010-)</t>
  </si>
  <si>
    <t>BF9860</t>
  </si>
  <si>
    <t>P555686</t>
  </si>
  <si>
    <t>FF5686</t>
  </si>
  <si>
    <t>WF10008</t>
  </si>
  <si>
    <t>038568737557</t>
  </si>
  <si>
    <t>10038568737554</t>
  </si>
  <si>
    <t>LFF3368</t>
  </si>
  <si>
    <t>MTU X00042421;  MTU 8V2000M92/M93,  41V5111M92,M93 (2004-), 10V2000M72 (2005-)  20V4000 engines with common rail injection systems</t>
  </si>
  <si>
    <t>MTU</t>
  </si>
  <si>
    <t>X00042421</t>
  </si>
  <si>
    <t>BF9800</t>
  </si>
  <si>
    <t>P551021</t>
  </si>
  <si>
    <t>FF5633</t>
  </si>
  <si>
    <t>038568739940</t>
  </si>
  <si>
    <t>10038568739947</t>
  </si>
  <si>
    <t>LFF7660</t>
  </si>
  <si>
    <t>SPIN-ON FUEL FILTER </t>
  </si>
  <si>
    <t>International Prostar+ with Maxforce 11/13 engine (30 micron filter)</t>
  </si>
  <si>
    <t>2611236C1</t>
  </si>
  <si>
    <t>FS20040</t>
  </si>
  <si>
    <t>WF10006</t>
  </si>
  <si>
    <t>038568738066</t>
  </si>
  <si>
    <t>10038568738063</t>
  </si>
  <si>
    <t>LAF4162</t>
  </si>
  <si>
    <t xml:space="preserve">Murphy Diesel; Caterpillar; Onan Generators. </t>
  </si>
  <si>
    <t>3I0011</t>
  </si>
  <si>
    <t>PA4619</t>
  </si>
  <si>
    <t>C055003</t>
  </si>
  <si>
    <t>AH19000</t>
  </si>
  <si>
    <t>CA9247</t>
  </si>
  <si>
    <t>038568739612</t>
  </si>
  <si>
    <t>10038568739619</t>
  </si>
  <si>
    <t>LAF6101</t>
  </si>
  <si>
    <t>GMC C6500-C8500 Trucks  w/Caterpillar C7 eng. (2007-09)</t>
  </si>
  <si>
    <t>A3101C</t>
  </si>
  <si>
    <t>RS5767</t>
  </si>
  <si>
    <t>038568735812</t>
  </si>
  <si>
    <t>10038568735819</t>
  </si>
  <si>
    <t>LAF9104</t>
  </si>
  <si>
    <t xml:space="preserve">International Durastar  Trucks (2012)  </t>
  </si>
  <si>
    <t>2602212C1</t>
  </si>
  <si>
    <t>P616050</t>
  </si>
  <si>
    <t>038568740328</t>
  </si>
  <si>
    <t>10038568740325</t>
  </si>
  <si>
    <t>LAF9498</t>
  </si>
  <si>
    <t xml:space="preserve">Western Star 4700 Series </t>
  </si>
  <si>
    <t>P619498</t>
  </si>
  <si>
    <t>038568740311</t>
  </si>
  <si>
    <t>10038568740318</t>
  </si>
  <si>
    <t xml:space="preserve">Buna N O-Ring </t>
  </si>
  <si>
    <t>O-ring used in LP7485 By-Pass Oil Filter</t>
  </si>
  <si>
    <t>038568739889</t>
  </si>
  <si>
    <t>10038568739886</t>
  </si>
  <si>
    <t>individual units are packed into a poly bag</t>
  </si>
  <si>
    <t>T951</t>
  </si>
  <si>
    <t xml:space="preserve"> FUEL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</si>
  <si>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</si>
  <si>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>038568739971</t>
  </si>
  <si>
    <t>10038568739978</t>
  </si>
  <si>
    <t>LK367C</t>
  </si>
  <si>
    <t xml:space="preserve"> MAINTENANCE KIT</t>
  </si>
  <si>
    <t xml:space="preserve">Consists of: 1-LFP3970, 1-LFF5632, 1-LFP1065, 1-LFP1652 </t>
  </si>
  <si>
    <t>038568740250</t>
  </si>
  <si>
    <t>10038568740257</t>
  </si>
  <si>
    <t>L5094F</t>
  </si>
  <si>
    <t>Peterbilt Trucks with ISX engine</t>
  </si>
  <si>
    <t>K37-1004</t>
  </si>
  <si>
    <t>038568740304</t>
  </si>
  <si>
    <t>10038568740301</t>
  </si>
  <si>
    <t>L9550FXL</t>
  </si>
  <si>
    <t xml:space="preserve">Davco </t>
  </si>
  <si>
    <t>Davco</t>
  </si>
  <si>
    <t>FS19550</t>
  </si>
  <si>
    <t>038568737885</t>
  </si>
  <si>
    <t>10038568737882</t>
  </si>
  <si>
    <t>L9730F</t>
  </si>
  <si>
    <t xml:space="preserve"> 7 micron element for Davco 232  units</t>
  </si>
  <si>
    <t>DAVCO</t>
  </si>
  <si>
    <t>PF7687</t>
  </si>
  <si>
    <t>P550460</t>
  </si>
  <si>
    <t>FS19730</t>
  </si>
  <si>
    <t>CS8031A</t>
  </si>
  <si>
    <t>038568735966</t>
  </si>
  <si>
    <t>10038568735963</t>
  </si>
  <si>
    <t>LAF4556</t>
  </si>
  <si>
    <t>Kensworth W900, W900L Trucks</t>
  </si>
  <si>
    <t>P614556</t>
  </si>
  <si>
    <t>038568740342 </t>
  </si>
  <si>
    <t>10038568740349</t>
  </si>
  <si>
    <t>LAF6725</t>
  </si>
  <si>
    <t>Kenworth T680 Truck  Peterbilt 579 Trucks</t>
  </si>
  <si>
    <t>P621725</t>
  </si>
  <si>
    <t>Kenworth T800 and Peterbilt 388 trucks</t>
  </si>
  <si>
    <t>P614986</t>
  </si>
  <si>
    <t>038568740335 </t>
  </si>
  <si>
    <t>10038568740332</t>
  </si>
  <si>
    <t>LH9401</t>
  </si>
  <si>
    <t>HYDRAULIC FILTER *</t>
  </si>
  <si>
    <t>Parker 932630Q,Pall HC2256FKS10Z  Glass media and viton gasket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</si>
  <si>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</si>
  <si>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</si>
  <si>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</si>
  <si>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</si>
  <si>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</si>
  <si>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</si>
  <si>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</si>
  <si>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</si>
  <si>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</si>
  <si>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 xml:space="preserve">Consists of: 1-LFP3191, 1-LFF4783, 1-LFP1652 </t>
  </si>
  <si>
    <t>038568740281</t>
  </si>
  <si>
    <t>10038568740288</t>
  </si>
  <si>
    <t>LP2017GASK</t>
  </si>
  <si>
    <t>GASKET</t>
  </si>
  <si>
    <t>Viton O-ring for LP2017 Filter</t>
  </si>
  <si>
    <t>038568739933</t>
  </si>
  <si>
    <t>10038568739930</t>
  </si>
  <si>
    <t>Individual pieces packed into a poly bag</t>
  </si>
  <si>
    <t>LP7498XL</t>
  </si>
  <si>
    <t>Synthetic media version of LP7498. Replaces LP7498</t>
  </si>
  <si>
    <t>3007498C93</t>
  </si>
  <si>
    <t>HU12002z</t>
  </si>
  <si>
    <t>038568740229</t>
  </si>
  <si>
    <t>10038568740226</t>
  </si>
  <si>
    <t>Czech Republic</t>
  </si>
  <si>
    <t>LK366C</t>
  </si>
  <si>
    <t xml:space="preserve">Consists of: 1-LFF9732, 1-LFF5421, 1-LFP6015, 1-LFP1652 </t>
  </si>
  <si>
    <t>038568740267</t>
  </si>
  <si>
    <t>10038568740264</t>
  </si>
  <si>
    <t>LK369C</t>
  </si>
  <si>
    <t>Consists of: 1-L1261F, 1-LFP3970, 1-LFP1652</t>
  </si>
  <si>
    <t>038568740243</t>
  </si>
  <si>
    <t>10038568740240</t>
  </si>
  <si>
    <t>LK370C</t>
  </si>
  <si>
    <t>Consists of: 1-LFF9616, 1-LFP780XL, 1-LFP1652</t>
  </si>
  <si>
    <t>038568740274</t>
  </si>
  <si>
    <t>10038568740271</t>
  </si>
  <si>
    <t>LFH7221</t>
  </si>
  <si>
    <t>HYDRAULIC  FILTER</t>
  </si>
  <si>
    <t>John Deere 6120 Tractor</t>
  </si>
  <si>
    <t>AL156625</t>
  </si>
  <si>
    <t>BT8904-MPG</t>
  </si>
  <si>
    <t>P764668</t>
  </si>
  <si>
    <t>HF35474</t>
  </si>
  <si>
    <t>038568737953 </t>
  </si>
  <si>
    <t>10038568737950</t>
  </si>
  <si>
    <t>LFP6027</t>
  </si>
  <si>
    <t>International 4300 Durastar Truck (2011) with Maxxforce 7 eng.</t>
  </si>
  <si>
    <t>1899332C91</t>
  </si>
  <si>
    <t>1893553C2</t>
  </si>
  <si>
    <t>038568738028</t>
  </si>
  <si>
    <t>10038568738025</t>
  </si>
  <si>
    <t>AF5184</t>
  </si>
  <si>
    <t xml:space="preserve"> AIR FILTER</t>
  </si>
  <si>
    <t xml:space="preserve">Suzuki Kizashi (2010-11) 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</si>
  <si>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</si>
  <si>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</si>
  <si>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</si>
  <si>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</si>
  <si>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</si>
  <si>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</si>
  <si>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</si>
  <si>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</si>
  <si>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</si>
  <si>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Chevrolet Camaro (2010-14)</t>
  </si>
  <si>
    <t>CF178</t>
  </si>
  <si>
    <t>CF11667</t>
  </si>
  <si>
    <t>CAF1879P</t>
  </si>
  <si>
    <t>C46126</t>
  </si>
  <si>
    <t>WCAF1879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</si>
  <si>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</si>
  <si>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</si>
  <si>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</si>
  <si>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</si>
  <si>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</si>
  <si>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</si>
  <si>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</si>
  <si>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</si>
  <si>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</si>
  <si>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</si>
  <si>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</si>
  <si>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</si>
  <si>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</si>
  <si>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</si>
  <si>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</si>
  <si>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 xml:space="preserve">Honda Passport (1996-97), Isuzu Rodeo (1996-97) </t>
  </si>
  <si>
    <t>Isuzu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</si>
  <si>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</si>
  <si>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</si>
  <si>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</si>
  <si>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</si>
  <si>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</si>
  <si>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</si>
  <si>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</si>
  <si>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</si>
  <si>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 xml:space="preserve">Fiat 500 Non Turbo (2012-14) 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</si>
  <si>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</si>
  <si>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</si>
  <si>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</si>
  <si>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</si>
  <si>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</si>
  <si>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</si>
  <si>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</si>
  <si>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</si>
  <si>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</si>
  <si>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LH22151</t>
  </si>
  <si>
    <t>Fairey Arlon; John Deere 350D, 400D Dump Trucks</t>
  </si>
  <si>
    <t>TXW8C-CC10</t>
  </si>
  <si>
    <t>TT220735</t>
  </si>
  <si>
    <t>PT8971-MPG</t>
  </si>
  <si>
    <t>P172467</t>
  </si>
  <si>
    <t>HF7964</t>
  </si>
  <si>
    <t>038568739902</t>
  </si>
  <si>
    <t>10038568739909</t>
  </si>
  <si>
    <t>P995</t>
  </si>
  <si>
    <t>LUBERFINER OIL PASSCAR</t>
  </si>
  <si>
    <t>2012-14 Audi Q3, Volkswagen Passat Diesel</t>
  </si>
  <si>
    <t>VW</t>
  </si>
  <si>
    <t>03L-115-562</t>
  </si>
  <si>
    <t>OX388</t>
  </si>
  <si>
    <t>CH10759</t>
  </si>
  <si>
    <t>LF674</t>
  </si>
  <si>
    <t>E115HD208</t>
  </si>
  <si>
    <t>HU7008Z</t>
  </si>
  <si>
    <t>L26288</t>
  </si>
  <si>
    <t>CF6288</t>
  </si>
  <si>
    <t>WP995</t>
  </si>
  <si>
    <t>038568739865</t>
  </si>
  <si>
    <t>10038568739862</t>
  </si>
  <si>
    <t>P987</t>
  </si>
  <si>
    <t>2011-14 BMW 5 Series, 7 Series, M5, M6</t>
  </si>
  <si>
    <t>OX353/3</t>
  </si>
  <si>
    <t>CH1007</t>
  </si>
  <si>
    <t>LF665</t>
  </si>
  <si>
    <t>HU8007Z</t>
  </si>
  <si>
    <t>L25904</t>
  </si>
  <si>
    <t>S11007</t>
  </si>
  <si>
    <t>CF5904</t>
  </si>
  <si>
    <t>WP987</t>
  </si>
  <si>
    <t>038568739704</t>
  </si>
  <si>
    <t>10038568739701</t>
  </si>
  <si>
    <t>LUBERFINER AIR PASSCAR</t>
  </si>
  <si>
    <t>2010-12 Chevrolet Camaro</t>
  </si>
  <si>
    <t>AC DELCO</t>
  </si>
  <si>
    <t>AFC1504</t>
  </si>
  <si>
    <t>038568739537</t>
  </si>
  <si>
    <t>10038568739534 </t>
  </si>
  <si>
    <t>CAF1876P</t>
  </si>
  <si>
    <t>2010-11 Kia Soul</t>
  </si>
  <si>
    <t>97133-2K000</t>
  </si>
  <si>
    <t>CF10776</t>
  </si>
  <si>
    <t>C26086</t>
  </si>
  <si>
    <t>WCAF1876</t>
  </si>
  <si>
    <t>038568740007</t>
  </si>
  <si>
    <t>10038568740004</t>
  </si>
  <si>
    <t>CAF1864P</t>
  </si>
  <si>
    <t>2007-11 Mazda CX7</t>
  </si>
  <si>
    <t>EG21-61-P11</t>
  </si>
  <si>
    <t>CF11671</t>
  </si>
  <si>
    <t>C25858</t>
  </si>
  <si>
    <t>WCAF1864</t>
  </si>
  <si>
    <t>038568739988</t>
  </si>
  <si>
    <t>10038568739985</t>
  </si>
  <si>
    <t>CAF1884P</t>
  </si>
  <si>
    <t>2006-2009 Hyundai Tuscon with Halla HVAC system</t>
  </si>
  <si>
    <t>97133-2E250</t>
  </si>
  <si>
    <t>CF11184</t>
  </si>
  <si>
    <t>C26073</t>
  </si>
  <si>
    <t>WCAF1884</t>
  </si>
  <si>
    <t>038568739995</t>
  </si>
  <si>
    <t>10038568739992</t>
  </si>
  <si>
    <t>CAF1897C</t>
  </si>
  <si>
    <t>2012 Chevrolet Traverse Standard media panel</t>
  </si>
  <si>
    <t>CF179C</t>
  </si>
  <si>
    <t>CF11663</t>
  </si>
  <si>
    <t>C26205C</t>
  </si>
  <si>
    <t>C26205</t>
  </si>
  <si>
    <t>WCAF1897</t>
  </si>
  <si>
    <t>WP10074</t>
  </si>
  <si>
    <t>038568739551</t>
  </si>
  <si>
    <t>10038568739558</t>
  </si>
  <si>
    <t xml:space="preserve">2013-14 Chevy Spark w/ L4-1.2L F/inj. engine. </t>
  </si>
  <si>
    <t>L16291</t>
  </si>
  <si>
    <t>038568739957</t>
  </si>
  <si>
    <t>10038568739954</t>
  </si>
  <si>
    <t>CAF1882P</t>
  </si>
  <si>
    <t>Luberfiner Air Filter</t>
  </si>
  <si>
    <t xml:space="preserve">Mitsubishi Outlander /Lancer (2002-07)  </t>
  </si>
  <si>
    <t>MN185231</t>
  </si>
  <si>
    <t>MR398288</t>
  </si>
  <si>
    <t>CF10746</t>
  </si>
  <si>
    <t>AFC1472</t>
  </si>
  <si>
    <t>E1998LC</t>
  </si>
  <si>
    <t>CUK2231</t>
  </si>
  <si>
    <t>C36125C</t>
  </si>
  <si>
    <t>C36125</t>
  </si>
  <si>
    <t>WCAF1882</t>
  </si>
  <si>
    <t>038568739544</t>
  </si>
  <si>
    <t>10038568739541</t>
  </si>
  <si>
    <t>L7662FK</t>
  </si>
  <si>
    <t>Luberfiner Fuel Filter</t>
  </si>
  <si>
    <t xml:space="preserve">International TerraStar, 4300 Trucks with MaxxForce 7 (6.4L) Engine </t>
  </si>
  <si>
    <t>1884207C91</t>
  </si>
  <si>
    <t>1884207C92</t>
  </si>
  <si>
    <t>1889977C91</t>
  </si>
  <si>
    <t>1889978C91</t>
  </si>
  <si>
    <t>R33286</t>
  </si>
  <si>
    <t>PF9914 KIT</t>
  </si>
  <si>
    <t>038568738592</t>
  </si>
  <si>
    <t>10038568738599</t>
  </si>
  <si>
    <t>L5092F</t>
  </si>
  <si>
    <t>Freightliner M2 Series, MT45 Chassis, Thomas C2, HDX Bus w/Mercedes-Benz MBE900 Eng.</t>
  </si>
  <si>
    <t>A0000902751</t>
  </si>
  <si>
    <t>K11101</t>
  </si>
  <si>
    <t>038568738196</t>
  </si>
  <si>
    <t>10038568738193 </t>
  </si>
  <si>
    <t>AF5205</t>
  </si>
  <si>
    <t>Chrysler 200 (2011-14), Dodge Avenger, Journey  (2011-14)</t>
  </si>
  <si>
    <t>68081249AC</t>
  </si>
  <si>
    <t>CA11170</t>
  </si>
  <si>
    <t>33-2470</t>
  </si>
  <si>
    <t>A36151</t>
  </si>
  <si>
    <t>SA11170</t>
  </si>
  <si>
    <t>AF6151</t>
  </si>
  <si>
    <t>WAF5205</t>
  </si>
  <si>
    <t>038568739780</t>
  </si>
  <si>
    <t>10038568739787</t>
  </si>
  <si>
    <t>P988</t>
  </si>
  <si>
    <t>Luberfiner Oil Filter</t>
  </si>
  <si>
    <t xml:space="preserve">Porsche Boxster (2010-14), Cayman (2009-14)  </t>
  </si>
  <si>
    <t>Porsche</t>
  </si>
  <si>
    <t>9A110702400</t>
  </si>
  <si>
    <t>CH11008</t>
  </si>
  <si>
    <t>S11008</t>
  </si>
  <si>
    <t>WP988</t>
  </si>
  <si>
    <t>038568739858</t>
  </si>
  <si>
    <t>10038568739855</t>
  </si>
  <si>
    <t>CAF1875P</t>
  </si>
  <si>
    <t>LUBERFINER CABIN AIR PASSCAR</t>
  </si>
  <si>
    <t xml:space="preserve">2009-2011 Nissan Cube Particulate Filter  </t>
  </si>
  <si>
    <t>B7891-1FC0A</t>
  </si>
  <si>
    <t>038568739506</t>
  </si>
  <si>
    <t>10038568739503</t>
  </si>
  <si>
    <t>AF5189</t>
  </si>
  <si>
    <t>2009-11 Infiniti M35/M37</t>
  </si>
  <si>
    <t>16546-EJ70A</t>
  </si>
  <si>
    <t>CA10999</t>
  </si>
  <si>
    <t>AF1562</t>
  </si>
  <si>
    <t>33-2440</t>
  </si>
  <si>
    <t>A26139</t>
  </si>
  <si>
    <t>AF6139</t>
  </si>
  <si>
    <t>WAF5189</t>
  </si>
  <si>
    <t>49570</t>
  </si>
  <si>
    <t>038568739742</t>
  </si>
  <si>
    <t>10038568739749</t>
  </si>
  <si>
    <t>AF5204</t>
  </si>
  <si>
    <t>Scion iQ 2012-2014</t>
  </si>
  <si>
    <t>17801-40040</t>
  </si>
  <si>
    <t>LX2751</t>
  </si>
  <si>
    <t>CA10762</t>
  </si>
  <si>
    <t>AF1543</t>
  </si>
  <si>
    <t>E1050L</t>
  </si>
  <si>
    <t>33-2486</t>
  </si>
  <si>
    <t>A16198</t>
  </si>
  <si>
    <t>SA10762</t>
  </si>
  <si>
    <t>AF6198</t>
  </si>
  <si>
    <t>WAF5204</t>
  </si>
  <si>
    <t>038568739667</t>
  </si>
  <si>
    <t>10038568739664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</si>
  <si>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</si>
  <si>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</si>
  <si>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</si>
  <si>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</si>
  <si>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</si>
  <si>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</si>
  <si>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</si>
  <si>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</si>
  <si>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</si>
  <si>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</si>
  <si>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</si>
  <si>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</si>
  <si>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</si>
  <si>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</si>
  <si>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</si>
  <si>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</si>
  <si>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</si>
  <si>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</si>
  <si>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</si>
  <si>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</si>
  <si>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</si>
  <si>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</si>
  <si>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</si>
  <si>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</si>
  <si>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</si>
  <si>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</si>
  <si>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</si>
  <si>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</si>
  <si>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</si>
  <si>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</si>
  <si>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</si>
  <si>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</si>
  <si>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</si>
  <si>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</si>
  <si>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</si>
  <si>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</si>
  <si>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</si>
  <si>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</si>
  <si>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</si>
  <si>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</si>
  <si>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</si>
  <si>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</si>
  <si>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</si>
  <si>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</si>
  <si>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</si>
  <si>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</si>
  <si>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</si>
  <si>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</si>
  <si>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</si>
  <si>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</si>
  <si>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</si>
  <si>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</si>
  <si>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</si>
  <si>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</si>
  <si>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</si>
  <si>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</si>
  <si>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</si>
  <si>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</si>
  <si>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</si>
  <si>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</si>
  <si>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</si>
  <si>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</si>
  <si>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</si>
  <si>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</si>
  <si>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</si>
  <si>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</si>
  <si>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</si>
  <si>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</si>
  <si>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</si>
  <si>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</si>
  <si>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</si>
  <si>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</si>
  <si>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</si>
  <si>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</si>
  <si>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</si>
  <si>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</si>
  <si>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</si>
  <si>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</si>
  <si>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</si>
  <si>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</si>
  <si>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</si>
  <si>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</si>
  <si>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</si>
  <si>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</si>
  <si>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</si>
  <si>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</si>
  <si>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</si>
  <si>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</si>
  <si>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</si>
  <si>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</si>
  <si>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</si>
  <si>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</si>
  <si>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</si>
  <si>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</si>
  <si>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</si>
  <si>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</si>
  <si>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</si>
  <si>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</si>
  <si>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</si>
  <si>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</si>
  <si>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</si>
  <si>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</si>
  <si>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</si>
  <si>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</si>
  <si>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</si>
  <si>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</si>
  <si>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</si>
  <si>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</si>
  <si>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</si>
  <si>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</si>
  <si>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</si>
  <si>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</si>
  <si>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</si>
  <si>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</si>
  <si>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</si>
  <si>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</si>
  <si>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</si>
  <si>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</si>
  <si>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</si>
  <si>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</si>
  <si>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</si>
  <si>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</si>
  <si>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LAF5354</t>
  </si>
  <si>
    <t>RADIAL SEAL AIR FILTER </t>
  </si>
  <si>
    <t>John Deere RE210102; John Deere 8130, 8230, 8330,  8430, 8530 Tractors (Pri. air)</t>
  </si>
  <si>
    <t>RE210102</t>
  </si>
  <si>
    <t>Nelson/Winslow</t>
  </si>
  <si>
    <t>871362B</t>
  </si>
  <si>
    <t>RS5354</t>
  </si>
  <si>
    <t>P617646</t>
  </si>
  <si>
    <t>AF26336</t>
  </si>
  <si>
    <t>49203</t>
  </si>
  <si>
    <t>038568738363</t>
  </si>
  <si>
    <t>10038568738360</t>
  </si>
  <si>
    <t>L6916F</t>
  </si>
  <si>
    <t>CARTRIDGE FUEL FILTER </t>
  </si>
  <si>
    <t xml:space="preserve"> Volvo EC160B Excavator</t>
  </si>
  <si>
    <t>E412KP02D55</t>
  </si>
  <si>
    <t>M+H</t>
  </si>
  <si>
    <t>PU815/X</t>
  </si>
  <si>
    <t>PF7916</t>
  </si>
  <si>
    <t>P550837</t>
  </si>
  <si>
    <t>FF5796</t>
  </si>
  <si>
    <t>33716</t>
  </si>
  <si>
    <t>038568737588</t>
  </si>
  <si>
    <t>10038568737585</t>
  </si>
  <si>
    <t>LP7485</t>
  </si>
  <si>
    <t>CENTRIFUGAL BYPASS OIL FILTER </t>
  </si>
  <si>
    <t>International Centrifuge by-pass lube  International Maxforce 9,10,11, and 13 engines.</t>
  </si>
  <si>
    <t>2606467C91</t>
  </si>
  <si>
    <t>BC7485</t>
  </si>
  <si>
    <t>P551841</t>
  </si>
  <si>
    <t>CS41043</t>
  </si>
  <si>
    <t>57467</t>
  </si>
  <si>
    <t>038568738004</t>
  </si>
  <si>
    <t>10038568738001</t>
  </si>
  <si>
    <t>LAF5837</t>
  </si>
  <si>
    <t xml:space="preserve">Nissan </t>
  </si>
  <si>
    <t>D6546-NY108</t>
  </si>
  <si>
    <t>P812175</t>
  </si>
  <si>
    <t>038568738547</t>
  </si>
  <si>
    <t>10038568738544 </t>
  </si>
  <si>
    <t>LH6418</t>
  </si>
  <si>
    <t>HYDRAULIC CARTRIDGE FILTER </t>
  </si>
  <si>
    <t xml:space="preserve">White </t>
  </si>
  <si>
    <t>White</t>
  </si>
  <si>
    <t>P545</t>
  </si>
  <si>
    <t>HF6418</t>
  </si>
  <si>
    <t>C7065</t>
  </si>
  <si>
    <t>LF366</t>
  </si>
  <si>
    <t>038568737946</t>
  </si>
  <si>
    <t>10038568737943</t>
  </si>
  <si>
    <t>FUEL FILTER KIT</t>
  </si>
  <si>
    <t>Freightliner School Bus (2008)  Mercedes,  Kit includes element TR2009-0331 &amp; pre-screen</t>
  </si>
  <si>
    <t>10038568738193</t>
  </si>
  <si>
    <t>AF5192</t>
  </si>
  <si>
    <t>LUBERFINER RIGID AIR FILTER</t>
  </si>
  <si>
    <t xml:space="preserve">Mazda 2 1.5L (2011-12) </t>
  </si>
  <si>
    <t>ZJ01-13-Z40</t>
  </si>
  <si>
    <t>CA9894</t>
  </si>
  <si>
    <t>AF1547</t>
  </si>
  <si>
    <t>C3220</t>
  </si>
  <si>
    <t>A26144</t>
  </si>
  <si>
    <t>AF6144</t>
  </si>
  <si>
    <t>SA9894</t>
  </si>
  <si>
    <t>WAF5192</t>
  </si>
  <si>
    <t>49640</t>
  </si>
  <si>
    <t>038568739643</t>
  </si>
  <si>
    <t>10038568739640</t>
  </si>
  <si>
    <t>CAF1883P</t>
  </si>
  <si>
    <t>LUBERFINER CABIN AIR FILTER</t>
  </si>
  <si>
    <t xml:space="preserve">Suzuki SX4 (2007-13) </t>
  </si>
  <si>
    <t>95860-80J00</t>
  </si>
  <si>
    <t>CF10559</t>
  </si>
  <si>
    <t>AFC1522</t>
  </si>
  <si>
    <t>C26089</t>
  </si>
  <si>
    <t>WCAF1883</t>
  </si>
  <si>
    <t>49700</t>
  </si>
  <si>
    <t>038568739452</t>
  </si>
  <si>
    <t>10038568739459</t>
  </si>
  <si>
    <t>AF5210</t>
  </si>
  <si>
    <t>Honda CRV (2012-14)</t>
  </si>
  <si>
    <t>17220-R5A-A00</t>
  </si>
  <si>
    <t>PA4468</t>
  </si>
  <si>
    <t>CA11258</t>
  </si>
  <si>
    <t>AF1538</t>
  </si>
  <si>
    <t>33-2477</t>
  </si>
  <si>
    <t>A36274</t>
  </si>
  <si>
    <t>AF6274</t>
  </si>
  <si>
    <t>SA11258</t>
  </si>
  <si>
    <t>WAF5210</t>
  </si>
  <si>
    <t>49630</t>
  </si>
  <si>
    <t>038568739582</t>
  </si>
  <si>
    <t>10038568739589</t>
  </si>
  <si>
    <t>AF5201</t>
  </si>
  <si>
    <t xml:space="preserve">Honda Civic 4cyl. 1.8L (2012-13)  </t>
  </si>
  <si>
    <t>17220-R1A-A01</t>
  </si>
  <si>
    <t>PA4452</t>
  </si>
  <si>
    <t>CA11113</t>
  </si>
  <si>
    <t>AF1481</t>
  </si>
  <si>
    <t>33-2468</t>
  </si>
  <si>
    <t>C24021</t>
  </si>
  <si>
    <t>A26171</t>
  </si>
  <si>
    <t>AF6171</t>
  </si>
  <si>
    <t>WAF5201</t>
  </si>
  <si>
    <t>49031</t>
  </si>
  <si>
    <t>038568739629</t>
  </si>
  <si>
    <t>10038568739626 </t>
  </si>
  <si>
    <t>AF5208</t>
  </si>
  <si>
    <t xml:space="preserve">Honda Civic Si 2.4L (2012-13)  </t>
  </si>
  <si>
    <t>17220-RX0-A00</t>
  </si>
  <si>
    <t>PA4463</t>
  </si>
  <si>
    <t>CA11121</t>
  </si>
  <si>
    <t>AF1508</t>
  </si>
  <si>
    <t>33-2473</t>
  </si>
  <si>
    <t>A26197</t>
  </si>
  <si>
    <t>AF6197</t>
  </si>
  <si>
    <t>SA11121</t>
  </si>
  <si>
    <t>WAF5208</t>
  </si>
  <si>
    <t>49530</t>
  </si>
  <si>
    <t>038568739674</t>
  </si>
  <si>
    <t>10038568739671</t>
  </si>
  <si>
    <t>AF5198</t>
  </si>
  <si>
    <t xml:space="preserve">Chrysler Town &amp; Country, Dodge Grand Caravan  (2011-14), Ram Cargo Van (2012-14)  </t>
  </si>
  <si>
    <t>4861737AA</t>
  </si>
  <si>
    <t>7B0-129-620A</t>
  </si>
  <si>
    <t>PA4456</t>
  </si>
  <si>
    <t>CA11050</t>
  </si>
  <si>
    <t>AF1490</t>
  </si>
  <si>
    <t>33-2462</t>
  </si>
  <si>
    <t>A36165</t>
  </si>
  <si>
    <t>AF6165</t>
  </si>
  <si>
    <t>WAF5198</t>
  </si>
  <si>
    <t>49737</t>
  </si>
  <si>
    <t>038568739773</t>
  </si>
  <si>
    <t>10038568739770</t>
  </si>
  <si>
    <t>AF3612</t>
  </si>
  <si>
    <t>LUBERFINER FLEX PANEL AIR FILTER</t>
  </si>
  <si>
    <t xml:space="preserve">Dodge Caliber (2011-12), Jeep Patriot, Compass  (2011-12) </t>
  </si>
  <si>
    <t>4593914AB</t>
  </si>
  <si>
    <t>CA11048</t>
  </si>
  <si>
    <t>AF1531</t>
  </si>
  <si>
    <t>A16168</t>
  </si>
  <si>
    <t>AF6168</t>
  </si>
  <si>
    <t>SA11048</t>
  </si>
  <si>
    <t>WAF3612</t>
  </si>
  <si>
    <t>49014</t>
  </si>
  <si>
    <t>038568739605</t>
  </si>
  <si>
    <t>10038568739602 </t>
  </si>
  <si>
    <t>AF5186</t>
  </si>
  <si>
    <t xml:space="preserve">Acura MDX (2010-13) , ZDX (2010-13) </t>
  </si>
  <si>
    <t>17220-RYE-A10</t>
  </si>
  <si>
    <t>CA11010</t>
  </si>
  <si>
    <t>AF1463</t>
  </si>
  <si>
    <t>33-2454</t>
  </si>
  <si>
    <t>A26172</t>
  </si>
  <si>
    <t>AF6172</t>
  </si>
  <si>
    <t>WAF5186</t>
  </si>
  <si>
    <t>49610</t>
  </si>
  <si>
    <t>038568739421</t>
  </si>
  <si>
    <t>10038568739428</t>
  </si>
  <si>
    <t>P996</t>
  </si>
  <si>
    <t>LUBERFINER CARTRIDGE OIL FILTER</t>
  </si>
  <si>
    <t>Scion iQ (2012-14) (Toyota )  Toyota Auris 1.33 VVT, 1.6 (5/09)</t>
  </si>
  <si>
    <t>04152-40060</t>
  </si>
  <si>
    <t>CH11252</t>
  </si>
  <si>
    <t>L16160</t>
  </si>
  <si>
    <t>CF6160</t>
  </si>
  <si>
    <t>WP996</t>
  </si>
  <si>
    <t>57260</t>
  </si>
  <si>
    <t>038568739803</t>
  </si>
  <si>
    <t>10038568739800</t>
  </si>
  <si>
    <t>P998</t>
  </si>
  <si>
    <t xml:space="preserve">Volkswagen Passat (2012-14), Touareg (2011-14),  CC (2013-14) </t>
  </si>
  <si>
    <t>03H-115-562</t>
  </si>
  <si>
    <t>CH11242</t>
  </si>
  <si>
    <t>LF690</t>
  </si>
  <si>
    <t>L26293</t>
  </si>
  <si>
    <t>CF6293</t>
  </si>
  <si>
    <t>WP998</t>
  </si>
  <si>
    <t>57462</t>
  </si>
  <si>
    <t>038568739599</t>
  </si>
  <si>
    <t>10038568739596</t>
  </si>
  <si>
    <t>CAF1868P</t>
  </si>
  <si>
    <t xml:space="preserve">Ford Fusion (2010-12), Mercury Milan (2010-11)  Lincoln MKZ (2010-12)  </t>
  </si>
  <si>
    <t>AE5Z-19N619-A</t>
  </si>
  <si>
    <t>FP-67</t>
  </si>
  <si>
    <t>CF11174</t>
  </si>
  <si>
    <t>AFC1460</t>
  </si>
  <si>
    <t>C36099</t>
  </si>
  <si>
    <t>WCAF1868</t>
  </si>
  <si>
    <t>24367</t>
  </si>
  <si>
    <t>038568739445</t>
  </si>
  <si>
    <t>10038568739442</t>
  </si>
  <si>
    <t>LH4248V</t>
  </si>
  <si>
    <t xml:space="preserve">Hydraulic Wire Mesh Supported Element </t>
  </si>
  <si>
    <t>Parker-Hannifan</t>
  </si>
  <si>
    <t>932618Q</t>
  </si>
  <si>
    <t>H9052</t>
  </si>
  <si>
    <t>P566202</t>
  </si>
  <si>
    <t>HF30237</t>
  </si>
  <si>
    <t>038568737106 </t>
  </si>
  <si>
    <t>10038568737103 </t>
  </si>
  <si>
    <t>LFP7314</t>
  </si>
  <si>
    <t xml:space="preserve">Hydraulic Filter, Spin-on 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</si>
  <si>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</si>
  <si>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</si>
  <si>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</si>
  <si>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</si>
  <si>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</si>
  <si>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</si>
  <si>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</si>
  <si>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LH7040</t>
  </si>
  <si>
    <t xml:space="preserve">Hydraulic Filter, Cartridge </t>
  </si>
  <si>
    <t>Parker RF2/IF2 housings.  Beta 1000= 23 micron</t>
  </si>
  <si>
    <t xml:space="preserve">Schroeder </t>
  </si>
  <si>
    <t>SBF100218Z25B</t>
  </si>
  <si>
    <t>P567040</t>
  </si>
  <si>
    <t>038568737113 </t>
  </si>
  <si>
    <t>LAF1901</t>
  </si>
  <si>
    <t>Air Filter, Primary</t>
  </si>
  <si>
    <t>Roof drill dust collector</t>
  </si>
  <si>
    <t>Air Refiner</t>
  </si>
  <si>
    <t>ARM-12-3990</t>
  </si>
  <si>
    <t>PA2527</t>
  </si>
  <si>
    <t>P123990</t>
  </si>
  <si>
    <t>AF1872</t>
  </si>
  <si>
    <t>CA7747</t>
  </si>
  <si>
    <t>A55118</t>
  </si>
  <si>
    <t>038568738011 </t>
  </si>
  <si>
    <t>AF5197</t>
  </si>
  <si>
    <t>Chrysler 300, Dodge Challenger, Charger (2011 - 2014), 3.6L, 5.7L, 6.4L, engines</t>
  </si>
  <si>
    <t>4861746AA</t>
  </si>
  <si>
    <t>LX2615OF</t>
  </si>
  <si>
    <t>CA11052</t>
  </si>
  <si>
    <t>AF1488</t>
  </si>
  <si>
    <t>33-2460</t>
  </si>
  <si>
    <t>A36167</t>
  </si>
  <si>
    <t>AF6167</t>
  </si>
  <si>
    <t>WAF5197</t>
  </si>
  <si>
    <t>038568738318</t>
  </si>
  <si>
    <t>AF5217</t>
  </si>
  <si>
    <t xml:space="preserve">Hyundai Genesis Coupe 2013, 2014 </t>
  </si>
  <si>
    <t>281132M300</t>
  </si>
  <si>
    <t>CA11298</t>
  </si>
  <si>
    <t>A36275</t>
  </si>
  <si>
    <t>AF6275</t>
  </si>
  <si>
    <t>WAF5217</t>
  </si>
  <si>
    <t>038568738325</t>
  </si>
  <si>
    <t>AF5203</t>
  </si>
  <si>
    <t xml:space="preserve">Honda Civic (Hybrid) (2012-13)  </t>
  </si>
  <si>
    <t>17220-RW0-A01</t>
  </si>
  <si>
    <t>CA11256</t>
  </si>
  <si>
    <t>A26196</t>
  </si>
  <si>
    <t>AF6196</t>
  </si>
  <si>
    <t>WAF5203</t>
  </si>
  <si>
    <t>038568739650</t>
  </si>
  <si>
    <t>10038568739657</t>
  </si>
  <si>
    <t>AF6908</t>
  </si>
  <si>
    <t xml:space="preserve">Ford Focus (2012-14) </t>
  </si>
  <si>
    <t>FA1908</t>
  </si>
  <si>
    <t>RS4450</t>
  </si>
  <si>
    <t>CA11114</t>
  </si>
  <si>
    <t>A36149</t>
  </si>
  <si>
    <t>AF6149</t>
  </si>
  <si>
    <t>WAF6908</t>
  </si>
  <si>
    <t>038568739827</t>
  </si>
  <si>
    <t>10038568739824</t>
  </si>
  <si>
    <t>AF5206</t>
  </si>
  <si>
    <t xml:space="preserve">Hyundai Accent, Veloster (2012-14), KIA Soul  2012-13 </t>
  </si>
  <si>
    <t>281131R100</t>
  </si>
  <si>
    <t>CA11206</t>
  </si>
  <si>
    <t>33-2472</t>
  </si>
  <si>
    <t>A16200</t>
  </si>
  <si>
    <t>AF6200</t>
  </si>
  <si>
    <t>SA11206</t>
  </si>
  <si>
    <t>WAF5206</t>
  </si>
  <si>
    <t>038568739636</t>
  </si>
  <si>
    <t>10038568739633</t>
  </si>
  <si>
    <t>CAF1863P</t>
  </si>
  <si>
    <t>Cabin Air Filter</t>
  </si>
  <si>
    <t xml:space="preserve">Subaru Forester (2003-08) </t>
  </si>
  <si>
    <t>Subaru</t>
  </si>
  <si>
    <t>72880-SA000</t>
  </si>
  <si>
    <t>G3010-SA100</t>
  </si>
  <si>
    <t>PA4424</t>
  </si>
  <si>
    <t>CF10745</t>
  </si>
  <si>
    <t>C25875</t>
  </si>
  <si>
    <t>WCAF1863</t>
  </si>
  <si>
    <t>038568738271</t>
  </si>
  <si>
    <t>10038568738278</t>
  </si>
  <si>
    <t>CAF1869P</t>
  </si>
  <si>
    <t xml:space="preserve">Subaru Forester (2009-14) </t>
  </si>
  <si>
    <t>72880-FG000</t>
  </si>
  <si>
    <t>C36115</t>
  </si>
  <si>
    <t>WCAF1869</t>
  </si>
  <si>
    <t>038568737519</t>
  </si>
  <si>
    <t>10038568737516</t>
  </si>
  <si>
    <t>CAF1874P</t>
  </si>
  <si>
    <t xml:space="preserve">Mazda 6 (2009-13) </t>
  </si>
  <si>
    <t>GS3L-61-148</t>
  </si>
  <si>
    <t>CF11175</t>
  </si>
  <si>
    <t>C26087</t>
  </si>
  <si>
    <t>WCAF1874</t>
  </si>
  <si>
    <t>038568738295 </t>
  </si>
  <si>
    <t>10038568738292</t>
  </si>
  <si>
    <t>CAF1890P</t>
  </si>
  <si>
    <t xml:space="preserve">Dodge Durango (2011-14), Jeep Grand Cherokee  (2011-14) </t>
  </si>
  <si>
    <t>68079487AA</t>
  </si>
  <si>
    <t>PA4462</t>
  </si>
  <si>
    <t>CF11183</t>
  </si>
  <si>
    <t>C36156</t>
  </si>
  <si>
    <t>WCAF1890</t>
  </si>
  <si>
    <t>038568739438</t>
  </si>
  <si>
    <t>10038568739435</t>
  </si>
  <si>
    <t>LFH5323</t>
  </si>
  <si>
    <t>Terberg &amp; Coopers Equipment</t>
  </si>
  <si>
    <t>Coopers</t>
  </si>
  <si>
    <t>LSF5170</t>
  </si>
  <si>
    <t>Terberg</t>
  </si>
  <si>
    <t>CAT</t>
  </si>
  <si>
    <t>8N9586, 9N5570</t>
  </si>
  <si>
    <t>P555570</t>
  </si>
  <si>
    <t>HF35323</t>
  </si>
  <si>
    <t>Not Packed Into a Unit Box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</si>
  <si>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</si>
  <si>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</si>
  <si>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</si>
  <si>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</si>
  <si>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54516075</t>
  </si>
  <si>
    <t>EPC046519</t>
  </si>
  <si>
    <t>K3181-82241</t>
  </si>
  <si>
    <t>NISSAN</t>
  </si>
  <si>
    <t>16546-FA01A</t>
  </si>
  <si>
    <t>80858384</t>
  </si>
  <si>
    <t>RS3990</t>
  </si>
  <si>
    <t>83978</t>
  </si>
  <si>
    <t>P778979</t>
  </si>
  <si>
    <t>AF26387</t>
  </si>
  <si>
    <t>E1500L</t>
  </si>
  <si>
    <t>49978</t>
  </si>
  <si>
    <t>038568737892</t>
  </si>
  <si>
    <t>1 unit box = 1 carton</t>
  </si>
  <si>
    <t>United Kingdom</t>
  </si>
  <si>
    <t>LK363T</t>
  </si>
  <si>
    <t>Maintentance Kit</t>
  </si>
  <si>
    <t xml:space="preserve"> Thermo-King Refrigeration  Units (Consists of 1-PH2808, 1-LFF9342SC, 1-G6635)</t>
  </si>
  <si>
    <t>11-9342</t>
  </si>
  <si>
    <t>038568739391</t>
  </si>
  <si>
    <t>LFF9982</t>
  </si>
  <si>
    <t>Fuel/Water Separator</t>
  </si>
  <si>
    <t xml:space="preserve">Thermo King Refrigeration Units; Volvo Trucks </t>
  </si>
  <si>
    <t>11-9982</t>
  </si>
  <si>
    <t>S3238P</t>
  </si>
  <si>
    <t>BF1355-SP</t>
  </si>
  <si>
    <t>FS19799</t>
  </si>
  <si>
    <t>PS9707</t>
  </si>
  <si>
    <t>038568737267</t>
  </si>
  <si>
    <t>10038568737264 </t>
  </si>
  <si>
    <t>P1009</t>
  </si>
  <si>
    <t>Oil - Full Flow LubeCartridge</t>
  </si>
  <si>
    <t>2014 Chrysler/Jeep/Dodge/Ram w/ 3.6L V-6</t>
  </si>
  <si>
    <t>68191349AA</t>
  </si>
  <si>
    <t>Mopar</t>
  </si>
  <si>
    <t>MO-349</t>
  </si>
  <si>
    <t>L36296</t>
  </si>
  <si>
    <t>CF6296</t>
  </si>
  <si>
    <t>WP1009</t>
  </si>
  <si>
    <t>038568738240</t>
  </si>
  <si>
    <t>10038568738247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</si>
  <si>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</si>
  <si>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</si>
  <si>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</si>
  <si>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</si>
  <si>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Dahl Fuel filter/Water separator</t>
  </si>
  <si>
    <t>Gasoline or Diesel Fuel Filter/Water Separator</t>
  </si>
  <si>
    <t>CAF12000XL</t>
  </si>
  <si>
    <t>Extreme Clean Cabin Air Filter</t>
  </si>
  <si>
    <t>John Deere 7000-8000-9000 Series Tractors; 4920 Sprayer</t>
  </si>
  <si>
    <t>RE187966</t>
  </si>
  <si>
    <t>038568737755</t>
  </si>
  <si>
    <t>CAF12001XL</t>
  </si>
  <si>
    <t>John Deere 600-700-800 Series J Wheeloaders  and Combines</t>
  </si>
  <si>
    <t xml:space="preserve">John Deere </t>
  </si>
  <si>
    <t>T156471</t>
  </si>
  <si>
    <t>038568737762</t>
  </si>
  <si>
    <t>CAF24000XL</t>
  </si>
  <si>
    <t>Volvo VHD, VN Series</t>
  </si>
  <si>
    <t xml:space="preserve">Volvo </t>
  </si>
  <si>
    <t>038568737779</t>
  </si>
  <si>
    <t>CAF24001XL</t>
  </si>
  <si>
    <t>Volvo VN Series</t>
  </si>
  <si>
    <t>038568737786</t>
  </si>
  <si>
    <t>CAF24002XL</t>
  </si>
  <si>
    <t>038568737793</t>
  </si>
  <si>
    <t>CAF24003XL</t>
  </si>
  <si>
    <t>Freightliner Business Class, Cascadia, Century, Coumbia, Coronado</t>
  </si>
  <si>
    <t xml:space="preserve">Freightliner </t>
  </si>
  <si>
    <t>038568737809</t>
  </si>
  <si>
    <t>CAF24004XL</t>
  </si>
  <si>
    <t>Freightliner Century Class, C112, CST 120</t>
  </si>
  <si>
    <t>22-44665-000</t>
  </si>
  <si>
    <t>038568737816</t>
  </si>
  <si>
    <t>CAF24005XL</t>
  </si>
  <si>
    <t>International Durastar, LoneStar, WorkStar, ProStar</t>
  </si>
  <si>
    <t>2506656C1</t>
  </si>
  <si>
    <t>038568737663</t>
  </si>
  <si>
    <t>CAF24007XL</t>
  </si>
  <si>
    <t>Kenworth T2000</t>
  </si>
  <si>
    <t xml:space="preserve">Kenworth </t>
  </si>
  <si>
    <t>52-5507BSM</t>
  </si>
  <si>
    <t>038568737670</t>
  </si>
  <si>
    <t>CAF24008XL</t>
  </si>
  <si>
    <t>International 4300, 6700, 9670, LP, LPX</t>
  </si>
  <si>
    <t>498144C1</t>
  </si>
  <si>
    <t>038568737687</t>
  </si>
  <si>
    <t>CAF24010XL</t>
  </si>
  <si>
    <t>Freightliner Columbia and Coronado</t>
  </si>
  <si>
    <t>038568737694</t>
  </si>
  <si>
    <t>CAF24011XL</t>
  </si>
  <si>
    <t>Freightliner Century and Columbia</t>
  </si>
  <si>
    <t>038568737700</t>
  </si>
  <si>
    <t>CAF24014XL</t>
  </si>
  <si>
    <t>Sterling B6500, B7500, B8500 + Others</t>
  </si>
  <si>
    <t xml:space="preserve">Sterling </t>
  </si>
  <si>
    <t>F6HZ-19N619-AA</t>
  </si>
  <si>
    <t>038568737717</t>
  </si>
  <si>
    <t>CAF24015XL</t>
  </si>
  <si>
    <t>International Prostar Series</t>
  </si>
  <si>
    <t>3839141C1</t>
  </si>
  <si>
    <t>038568737748</t>
  </si>
  <si>
    <t>CAF24016XL</t>
  </si>
  <si>
    <t>Freightliner Business Class, FL &amp; M2 SEries</t>
  </si>
  <si>
    <t>VCC36000006</t>
  </si>
  <si>
    <t>038568737724</t>
  </si>
  <si>
    <t>CAF24017XL</t>
  </si>
  <si>
    <t>Western Star 4900 Series Trucks</t>
  </si>
  <si>
    <t xml:space="preserve">Western Star </t>
  </si>
  <si>
    <t>RD3-8416-0</t>
  </si>
  <si>
    <t>CAF24020</t>
  </si>
  <si>
    <t>Sterling Trucks-Foam Cabin Air element</t>
  </si>
  <si>
    <t xml:space="preserve">Ford Sterling </t>
  </si>
  <si>
    <t xml:space="preserve"> F6HZ-19N619-BA</t>
  </si>
  <si>
    <t>PA5393</t>
  </si>
  <si>
    <t>AF26669</t>
  </si>
  <si>
    <t>AF2452</t>
  </si>
  <si>
    <t>LAF5454</t>
  </si>
  <si>
    <t>M.A.N. TGA, TGM, TGS, &amp; TGX Series Trucks-S/O Air Dryer</t>
  </si>
  <si>
    <t>AL150288</t>
  </si>
  <si>
    <t>PA4704</t>
  </si>
  <si>
    <t>P606121</t>
  </si>
  <si>
    <t>AF26155</t>
  </si>
  <si>
    <t>AF2381</t>
  </si>
  <si>
    <t>E712LS</t>
  </si>
  <si>
    <t>CF30100</t>
  </si>
  <si>
    <t>LAF5789</t>
  </si>
  <si>
    <t>Caterpillar; Irregular shaped radial seal  air filter used on Caterpillar CT660 trucks.</t>
  </si>
  <si>
    <t>80122-RPL</t>
  </si>
  <si>
    <t>Navistar</t>
  </si>
  <si>
    <t>2609683C1</t>
  </si>
  <si>
    <t>LFP6035</t>
  </si>
  <si>
    <t>Spin-on Lube Filter</t>
  </si>
  <si>
    <t>2011-12 International trucks with Maxforce DT engine.</t>
  </si>
  <si>
    <t>1884508C1</t>
  </si>
  <si>
    <t>LF17499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</si>
  <si>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</si>
  <si>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</si>
  <si>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</si>
  <si>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</si>
  <si>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</si>
  <si>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</si>
  <si>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</si>
  <si>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Dec 2012-Feb 2013</t>
  </si>
  <si>
    <t>LAF3498</t>
  </si>
  <si>
    <t>LAF3780</t>
  </si>
  <si>
    <t>LAF6999</t>
  </si>
  <si>
    <t>LAF6099</t>
  </si>
  <si>
    <t>L3546FC</t>
  </si>
  <si>
    <t>LFF3294</t>
  </si>
  <si>
    <t>LFF5357</t>
  </si>
  <si>
    <t>LFF6354</t>
  </si>
  <si>
    <t>L1020F</t>
  </si>
  <si>
    <t>L5098F</t>
  </si>
  <si>
    <t>L3880F</t>
  </si>
  <si>
    <t>L4109F</t>
  </si>
  <si>
    <t>Oil</t>
  </si>
  <si>
    <t>LP1138</t>
  </si>
  <si>
    <t>LFP9025XL</t>
  </si>
  <si>
    <t>LWC22155</t>
  </si>
  <si>
    <t xml:space="preserve">Coolant </t>
  </si>
  <si>
    <t>L7663F</t>
  </si>
  <si>
    <t>Paccar 1852006PE; 2014 Kenworth &amp; Peterbilt  trucks with Paccar MX engine)</t>
  </si>
  <si>
    <t>1852006PE</t>
  </si>
  <si>
    <t>AF5230</t>
  </si>
  <si>
    <t xml:space="preserve">Acura MDX </t>
  </si>
  <si>
    <t>17220-5J6-A00</t>
  </si>
  <si>
    <t>CA11712</t>
  </si>
  <si>
    <t>AF1642</t>
  </si>
  <si>
    <t>33-5013</t>
  </si>
  <si>
    <t>A28168</t>
  </si>
  <si>
    <t>AF8168</t>
  </si>
  <si>
    <t>WAF5230</t>
  </si>
  <si>
    <t>WA10053</t>
  </si>
  <si>
    <t>AF5699</t>
  </si>
  <si>
    <t xml:space="preserve">Mercedes-Benz SLK350, C350,  E350 (2012-16) </t>
  </si>
  <si>
    <t>CA11439</t>
  </si>
  <si>
    <t>AF1574</t>
  </si>
  <si>
    <t>E1040L</t>
  </si>
  <si>
    <t>LX3140</t>
  </si>
  <si>
    <t>C43139</t>
  </si>
  <si>
    <t>SA11439</t>
  </si>
  <si>
    <t>WAF5699</t>
  </si>
  <si>
    <t>AF3611</t>
  </si>
  <si>
    <t xml:space="preserve">Audi, Volkswagen Jetta 2.0L (2011-15) </t>
  </si>
  <si>
    <t>1F0-129-620</t>
  </si>
  <si>
    <t>1-987-429-405</t>
  </si>
  <si>
    <t>CA9800</t>
  </si>
  <si>
    <t>AF1595</t>
  </si>
  <si>
    <t>C14130</t>
  </si>
  <si>
    <t>SA9800</t>
  </si>
  <si>
    <t>WAF3611</t>
  </si>
  <si>
    <t>AF3618</t>
  </si>
  <si>
    <t xml:space="preserve">BMW 3 Series 2.0L 4 cyl. (2012-16)  </t>
  </si>
  <si>
    <t>ALCO</t>
  </si>
  <si>
    <t>MD8654</t>
  </si>
  <si>
    <t>CA11305</t>
  </si>
  <si>
    <t>AF1630</t>
  </si>
  <si>
    <t>E1079L</t>
  </si>
  <si>
    <t>LX2077/3</t>
  </si>
  <si>
    <t>C24025</t>
  </si>
  <si>
    <t>WAF3618</t>
  </si>
  <si>
    <t>WA10005</t>
  </si>
  <si>
    <t>CAF1753</t>
  </si>
  <si>
    <t xml:space="preserve">Daewoo Nubira (1998-2002) </t>
  </si>
  <si>
    <t>Daewoo</t>
  </si>
  <si>
    <t>PH488</t>
  </si>
  <si>
    <t xml:space="preserve">Chevrolet 1.4L and 1.5L (2016-17) </t>
  </si>
  <si>
    <t>UPF64R</t>
  </si>
  <si>
    <t>WPH488</t>
  </si>
  <si>
    <t>CAF1945P</t>
  </si>
  <si>
    <t xml:space="preserve">Audi A3, VW Golf (2015-16) </t>
  </si>
  <si>
    <t>Audi</t>
  </si>
  <si>
    <t>5Q0-819-644</t>
  </si>
  <si>
    <t>5Q0-819-644A</t>
  </si>
  <si>
    <t>E2998Li</t>
  </si>
  <si>
    <t>CU26009</t>
  </si>
  <si>
    <t>P1028</t>
  </si>
  <si>
    <t xml:space="preserve">2015 VW Golf diesel </t>
  </si>
  <si>
    <t>03N-115-562</t>
  </si>
  <si>
    <t>E340HD247</t>
  </si>
  <si>
    <t>HU7020z</t>
  </si>
  <si>
    <t>L28176</t>
  </si>
  <si>
    <t>WP1028</t>
  </si>
  <si>
    <t>WL10056</t>
  </si>
  <si>
    <t>038568744463</t>
  </si>
  <si>
    <t>10038568744460</t>
  </si>
  <si>
    <t>UB Supplied - Dimensions Unknown</t>
  </si>
  <si>
    <t>038568744586</t>
  </si>
  <si>
    <t>10038568744583</t>
  </si>
  <si>
    <t>038568742490</t>
  </si>
  <si>
    <t>10038568742497</t>
  </si>
  <si>
    <t>038568744678</t>
  </si>
  <si>
    <t>10038568744675</t>
  </si>
  <si>
    <t>038568744340</t>
  </si>
  <si>
    <t>10038568744347</t>
  </si>
  <si>
    <t>038568730572</t>
  </si>
  <si>
    <t>10038568743630</t>
  </si>
  <si>
    <t>038568744272</t>
  </si>
  <si>
    <t>10038568744279</t>
  </si>
  <si>
    <t>038568744357</t>
  </si>
  <si>
    <t>10038568744354</t>
  </si>
  <si>
    <t>038568744364</t>
  </si>
  <si>
    <t>10038568744361</t>
  </si>
  <si>
    <t>AF3621</t>
  </si>
  <si>
    <t xml:space="preserve">VW Golf (2015-16) </t>
  </si>
  <si>
    <t>5Q0-129-620</t>
  </si>
  <si>
    <t>5Q0-129-620B</t>
  </si>
  <si>
    <t>5QM-129-620D</t>
  </si>
  <si>
    <t>5QM-129-620A</t>
  </si>
  <si>
    <t>E1090L</t>
  </si>
  <si>
    <t>LX3502</t>
  </si>
  <si>
    <t>C30005</t>
  </si>
  <si>
    <t>AF5247</t>
  </si>
  <si>
    <t xml:space="preserve">(2014-2016) Ram Pro Master van  </t>
  </si>
  <si>
    <t>52022424AA</t>
  </si>
  <si>
    <t>RS10021</t>
  </si>
  <si>
    <t>CAF1946C</t>
  </si>
  <si>
    <t>Mini Cooper 1.5L and 2.0L (2015-16)</t>
  </si>
  <si>
    <t>038568744739 </t>
  </si>
  <si>
    <t>10038568744736 </t>
  </si>
  <si>
    <t>NA</t>
  </si>
  <si>
    <t>038568743664</t>
  </si>
  <si>
    <t>10038568743661</t>
  </si>
  <si>
    <t>038568744647</t>
  </si>
  <si>
    <t>10038568744644</t>
  </si>
  <si>
    <t>AF3619</t>
  </si>
  <si>
    <t xml:space="preserve">Volkswagen Jetta 4 cyl. 1.4L (2013-16) </t>
  </si>
  <si>
    <t xml:space="preserve"> 04E-129-620</t>
  </si>
  <si>
    <t>C27009</t>
  </si>
  <si>
    <t>WA10072</t>
  </si>
  <si>
    <t>LFP6288</t>
  </si>
  <si>
    <t xml:space="preserve">Dodge Promaster Diesel van (2014-16)  </t>
  </si>
  <si>
    <t>68095335AA</t>
  </si>
  <si>
    <t>H17W29</t>
  </si>
  <si>
    <t>OC613</t>
  </si>
  <si>
    <t>W940/69</t>
  </si>
  <si>
    <t>L38167</t>
  </si>
  <si>
    <t>WLFP6288</t>
  </si>
  <si>
    <t>WL10058</t>
  </si>
  <si>
    <t>AF3195</t>
  </si>
  <si>
    <t xml:space="preserve">Chevrolet Colorado (2015-16)   </t>
  </si>
  <si>
    <t xml:space="preserve"> A3195C</t>
  </si>
  <si>
    <t>AF1672</t>
  </si>
  <si>
    <t>SA11959</t>
  </si>
  <si>
    <t>WAF3195</t>
  </si>
  <si>
    <t>AF5248</t>
  </si>
  <si>
    <t xml:space="preserve">Honda Fit (2015-16) </t>
  </si>
  <si>
    <t>17220-5R0-008</t>
  </si>
  <si>
    <t>AF1666</t>
  </si>
  <si>
    <t>WAF5248</t>
  </si>
  <si>
    <t>WA10212</t>
  </si>
  <si>
    <t>AF5251</t>
  </si>
  <si>
    <t xml:space="preserve">Kia Forte (2014-16) </t>
  </si>
  <si>
    <t>28113-3X000</t>
  </si>
  <si>
    <t>PA4480</t>
  </si>
  <si>
    <t>CA11053</t>
  </si>
  <si>
    <t>AF1511</t>
  </si>
  <si>
    <t>A6166</t>
  </si>
  <si>
    <t>SA11053A</t>
  </si>
  <si>
    <t>AF6166</t>
  </si>
  <si>
    <t>WAF5251</t>
  </si>
  <si>
    <t>AF5252</t>
  </si>
  <si>
    <t>Air Filter, Axial</t>
  </si>
  <si>
    <t>GM Full Size Vans 2016</t>
  </si>
  <si>
    <t>PA4126</t>
  </si>
  <si>
    <t>AF5858</t>
  </si>
  <si>
    <t>WAF5252</t>
  </si>
  <si>
    <t>AF9918</t>
  </si>
  <si>
    <t xml:space="preserve">Ford Mustang (2015-16) </t>
  </si>
  <si>
    <t>FR3Z-9601-A</t>
  </si>
  <si>
    <t>FA1918</t>
  </si>
  <si>
    <t>A48156</t>
  </si>
  <si>
    <t>WAF9918</t>
  </si>
  <si>
    <t>L3548F</t>
  </si>
  <si>
    <t>Fuel Filter, In-Line</t>
  </si>
  <si>
    <t xml:space="preserve">BMW X5 3.0L Diesel Turbo (2009-12)  </t>
  </si>
  <si>
    <t>KL169/4D</t>
  </si>
  <si>
    <t>WK11245</t>
  </si>
  <si>
    <t>L4107F</t>
  </si>
  <si>
    <t>Mercedes-Benz GL/ML with Bluetec (2012-16)  Frieghtliner and Mercedes Sprinter van  (2010-12)</t>
  </si>
  <si>
    <t>Freightliner / Mercedes</t>
  </si>
  <si>
    <t>WK820/14</t>
  </si>
  <si>
    <t>L9621F</t>
  </si>
  <si>
    <t xml:space="preserve">Ford Transit Van (2015-16) (CC1Z-9365-A)   </t>
  </si>
  <si>
    <t>CC1Z-9365-A</t>
  </si>
  <si>
    <t>PF46004</t>
  </si>
  <si>
    <t>FD4621</t>
  </si>
  <si>
    <t>LFF5106</t>
  </si>
  <si>
    <t xml:space="preserve">Ram 4500 and 5500 6.7L diesel pickup.  (2013-16)  </t>
  </si>
  <si>
    <t xml:space="preserve">Chrysler </t>
  </si>
  <si>
    <t>68197867AA</t>
  </si>
  <si>
    <t>BF46031</t>
  </si>
  <si>
    <t>FF1279</t>
  </si>
  <si>
    <t>WF10112</t>
  </si>
  <si>
    <t>G6391</t>
  </si>
  <si>
    <t xml:space="preserve">Audi A3 (2006-13), Volkswagen  EOS (2007-16)  </t>
  </si>
  <si>
    <t>1K0-201-051C</t>
  </si>
  <si>
    <t>G10243</t>
  </si>
  <si>
    <t>GF386</t>
  </si>
  <si>
    <t>H280WK</t>
  </si>
  <si>
    <t>KL156/3</t>
  </si>
  <si>
    <t>WK69</t>
  </si>
  <si>
    <t>G6844</t>
  </si>
  <si>
    <t xml:space="preserve">Cadillac SRX (2010-16) </t>
  </si>
  <si>
    <t>GF388</t>
  </si>
  <si>
    <t>GF844</t>
  </si>
  <si>
    <t>AF3927</t>
  </si>
  <si>
    <t>BMW Z4 3.0L Non-Turbo (2009-16), Z4 2.0L Turbo (2012-16)</t>
  </si>
  <si>
    <t>CA10994</t>
  </si>
  <si>
    <t>AF1551</t>
  </si>
  <si>
    <t>E1058L</t>
  </si>
  <si>
    <t>33-2963</t>
  </si>
  <si>
    <t>LX2787</t>
  </si>
  <si>
    <t>C27125</t>
  </si>
  <si>
    <t>A46143</t>
  </si>
  <si>
    <t>SA10994</t>
  </si>
  <si>
    <t>AF5233</t>
  </si>
  <si>
    <t xml:space="preserve">Jeep Cherokee (2014-16) </t>
  </si>
  <si>
    <t>52022378AA</t>
  </si>
  <si>
    <t>PA4484</t>
  </si>
  <si>
    <t>AF1619</t>
  </si>
  <si>
    <t>33-5009</t>
  </si>
  <si>
    <t>WAF5233</t>
  </si>
  <si>
    <t>WA10096</t>
  </si>
  <si>
    <t>AF5239</t>
  </si>
  <si>
    <t xml:space="preserve">Chrysler 200 (2015-16) </t>
  </si>
  <si>
    <t>68157194AA</t>
  </si>
  <si>
    <t>PA10006</t>
  </si>
  <si>
    <t>AF1660</t>
  </si>
  <si>
    <t>SA11948</t>
  </si>
  <si>
    <t>WAF5239</t>
  </si>
  <si>
    <t>WA10296</t>
  </si>
  <si>
    <t>AF5240</t>
  </si>
  <si>
    <t xml:space="preserve">Toyota Tundra &amp; Sequoia 5.7L (2014-16) </t>
  </si>
  <si>
    <t>17801-0S020</t>
  </si>
  <si>
    <t>33-5017</t>
  </si>
  <si>
    <t>A58172</t>
  </si>
  <si>
    <t>WAF5240</t>
  </si>
  <si>
    <t>WA10085</t>
  </si>
  <si>
    <t>L5693F</t>
  </si>
  <si>
    <t>Fuel Filter, Cartridge</t>
  </si>
  <si>
    <t xml:space="preserve">Ram 1500 Pickup Diesel (2014-16)  </t>
  </si>
  <si>
    <t>68235275AA</t>
  </si>
  <si>
    <t>038568744593</t>
  </si>
  <si>
    <t>10038568744590</t>
  </si>
  <si>
    <t>038568744746</t>
  </si>
  <si>
    <t>10038568744743</t>
  </si>
  <si>
    <t>038568743114</t>
  </si>
  <si>
    <t>10038568743111</t>
  </si>
  <si>
    <t>038568744609</t>
  </si>
  <si>
    <t>10038568744606</t>
  </si>
  <si>
    <t>038568744081</t>
  </si>
  <si>
    <t>10038568744088</t>
  </si>
  <si>
    <t>038568744760</t>
  </si>
  <si>
    <t>10038568744767</t>
  </si>
  <si>
    <t>038568744623</t>
  </si>
  <si>
    <t>10038568744620</t>
  </si>
  <si>
    <t>038568744203</t>
  </si>
  <si>
    <t>10038568744200</t>
  </si>
  <si>
    <t>038568744371</t>
  </si>
  <si>
    <t>10038568744378</t>
  </si>
  <si>
    <t>038568744210</t>
  </si>
  <si>
    <t>10038568744217</t>
  </si>
  <si>
    <t>Taiwan</t>
  </si>
  <si>
    <t>038568744173</t>
  </si>
  <si>
    <t>10038568744170</t>
  </si>
  <si>
    <t>038568744234</t>
  </si>
  <si>
    <t>10038568744231</t>
  </si>
  <si>
    <t>038568744227</t>
  </si>
  <si>
    <t>10038568744224</t>
  </si>
  <si>
    <t>038568743770</t>
  </si>
  <si>
    <t>10038568743777</t>
  </si>
  <si>
    <t>038568743084</t>
  </si>
  <si>
    <t>10038568743081</t>
  </si>
  <si>
    <t>038568743671</t>
  </si>
  <si>
    <t>10038568743678</t>
  </si>
  <si>
    <t>038568743107</t>
  </si>
  <si>
    <t>10038568743104</t>
  </si>
  <si>
    <t>038568744104</t>
  </si>
  <si>
    <t>10038568744101</t>
  </si>
  <si>
    <t>BF46001</t>
  </si>
  <si>
    <t>FF276</t>
  </si>
  <si>
    <t>Each Weight</t>
  </si>
  <si>
    <t>Case Weight</t>
  </si>
  <si>
    <t>AF5236</t>
  </si>
  <si>
    <t>Fiat 500L (2014-17) ()</t>
  </si>
  <si>
    <t>68202151AA</t>
  </si>
  <si>
    <t>33-5015</t>
  </si>
  <si>
    <t>WA10084</t>
  </si>
  <si>
    <t>AF5249</t>
  </si>
  <si>
    <t>Hyundai Sonata 1.6L and 2.0L (2015-17)  Turbo has locking lever</t>
  </si>
  <si>
    <t>28113-C1500</t>
  </si>
  <si>
    <t>CA11941</t>
  </si>
  <si>
    <t>SA11941</t>
  </si>
  <si>
    <t>A93214</t>
  </si>
  <si>
    <t>WA10301</t>
  </si>
  <si>
    <t>CAF1944P</t>
  </si>
  <si>
    <t xml:space="preserve">Hyundai Sonata (2015-17) </t>
  </si>
  <si>
    <t>2CH79-AP000</t>
  </si>
  <si>
    <t>CAF1944</t>
  </si>
  <si>
    <t>WP10155</t>
  </si>
  <si>
    <t>CAF1945C</t>
  </si>
  <si>
    <t>5Q0-819-653</t>
  </si>
  <si>
    <t>C38196C</t>
  </si>
  <si>
    <t>WCAF1945</t>
  </si>
  <si>
    <t>WP10159</t>
  </si>
  <si>
    <t>CAF1950P</t>
  </si>
  <si>
    <t xml:space="preserve">Toyota Prius (2016-17) </t>
  </si>
  <si>
    <t>87139-28020</t>
  </si>
  <si>
    <t>WCAF1950</t>
  </si>
  <si>
    <t>AF5246</t>
  </si>
  <si>
    <t xml:space="preserve">Honda CRV (2015-16) </t>
  </si>
  <si>
    <t>17220-5LA-A00</t>
  </si>
  <si>
    <t>CA11945</t>
  </si>
  <si>
    <t>33-5031</t>
  </si>
  <si>
    <t>A38197</t>
  </si>
  <si>
    <t>AF8197</t>
  </si>
  <si>
    <t>VA-431</t>
  </si>
  <si>
    <t>WA10269</t>
  </si>
  <si>
    <t>G2988</t>
  </si>
  <si>
    <t xml:space="preserve">Audi A6, A8, R8, and RS4 (2006-15)  </t>
  </si>
  <si>
    <t>4F0-201-511C</t>
  </si>
  <si>
    <t>G10215</t>
  </si>
  <si>
    <t>GF381</t>
  </si>
  <si>
    <t>H224WK</t>
  </si>
  <si>
    <t>KL571</t>
  </si>
  <si>
    <t>WK720/4</t>
  </si>
  <si>
    <t>AF5231</t>
  </si>
  <si>
    <t xml:space="preserve">Mitsubishi Outlander,Lancer (2014-17)  </t>
  </si>
  <si>
    <t>MR1500A513</t>
  </si>
  <si>
    <t>PA10000</t>
  </si>
  <si>
    <t>CA10910</t>
  </si>
  <si>
    <t>AF1645</t>
  </si>
  <si>
    <t>C25654</t>
  </si>
  <si>
    <t>WAF5231</t>
  </si>
  <si>
    <t>WA10058</t>
  </si>
  <si>
    <t>AF9916</t>
  </si>
  <si>
    <t>Ford Transit Van (2015-17)</t>
  </si>
  <si>
    <t>CK4Z-9601A</t>
  </si>
  <si>
    <t>CA11946</t>
  </si>
  <si>
    <t>33-5024</t>
  </si>
  <si>
    <t>A48225</t>
  </si>
  <si>
    <t>SA11946</t>
  </si>
  <si>
    <t>AF8225</t>
  </si>
  <si>
    <t>WA10316</t>
  </si>
  <si>
    <t>038568744715</t>
  </si>
  <si>
    <t>10038568744712</t>
  </si>
  <si>
    <t>038568744630</t>
  </si>
  <si>
    <t>10038568744637</t>
  </si>
  <si>
    <t>038568744562</t>
  </si>
  <si>
    <t>10038568744569</t>
  </si>
  <si>
    <t>038568744722</t>
  </si>
  <si>
    <t>10038568744729</t>
  </si>
  <si>
    <t>Packed into a Plastic Bag</t>
  </si>
  <si>
    <t>038568744692</t>
  </si>
  <si>
    <t>10038568744699</t>
  </si>
  <si>
    <t>038568744548</t>
  </si>
  <si>
    <t>10038568744545</t>
  </si>
  <si>
    <t>038568744241</t>
  </si>
  <si>
    <t>10038568744248</t>
  </si>
  <si>
    <t>038568744418</t>
  </si>
  <si>
    <t>10038568744415</t>
  </si>
  <si>
    <t>038568744395</t>
  </si>
  <si>
    <t>10038568744392</t>
  </si>
  <si>
    <t>2017 DISTRIBUTOR PRICE UPDATE</t>
  </si>
  <si>
    <t>Inventory Available</t>
  </si>
  <si>
    <t>2017 NEW PRODUCT INTRODUCTION</t>
  </si>
  <si>
    <t>LK374T</t>
  </si>
  <si>
    <t xml:space="preserve"> Thermo King APUs. Consists of:  1 - LAF8388, 1 - PH2808,     1 - LFF9342SC  </t>
  </si>
  <si>
    <t>LAF9300</t>
  </si>
  <si>
    <t>Radial Seal Air Element with Lid</t>
  </si>
  <si>
    <t>Thermo King Refrigeration Units</t>
  </si>
  <si>
    <t xml:space="preserve">Thermo-King </t>
  </si>
  <si>
    <t>11-9300</t>
  </si>
  <si>
    <t>RS5387  KIT</t>
  </si>
  <si>
    <t>P953446</t>
  </si>
  <si>
    <t>AF25119</t>
  </si>
  <si>
    <t>AF2454</t>
  </si>
  <si>
    <t>WA10060</t>
  </si>
  <si>
    <t>LAF6453MXM</t>
  </si>
  <si>
    <t>Nano Tech Air Filter w/Attached boot</t>
  </si>
  <si>
    <t>Case 1221E Wheel Loaders  Extended/Severe service version of LAF6453</t>
  </si>
  <si>
    <t>Case</t>
  </si>
  <si>
    <t>A652CF</t>
  </si>
  <si>
    <t>3I0802</t>
  </si>
  <si>
    <t>Clark</t>
  </si>
  <si>
    <t>11L601870</t>
  </si>
  <si>
    <t>PA2456</t>
  </si>
  <si>
    <t>DBA5049</t>
  </si>
  <si>
    <t>AF891M</t>
  </si>
  <si>
    <t>CA3273</t>
  </si>
  <si>
    <t>2546NP</t>
  </si>
  <si>
    <t>42546NP</t>
  </si>
  <si>
    <t>038568745057</t>
  </si>
  <si>
    <t>10038568745054</t>
  </si>
  <si>
    <t>BULK PKG W/ PARTITION</t>
  </si>
  <si>
    <t>038568744869</t>
  </si>
  <si>
    <t>10038568744866</t>
  </si>
  <si>
    <t>No Unit Box Used</t>
  </si>
  <si>
    <t>038568704054</t>
  </si>
  <si>
    <t>10038568704051</t>
  </si>
  <si>
    <t>HISTORICAL RECAP DECEMBER 2012 - JUNE 2017</t>
  </si>
  <si>
    <t>Detroit Diesel  DD13, DD15, &amp; DD16 engines</t>
  </si>
  <si>
    <t>A4721800109</t>
  </si>
  <si>
    <t>P7505</t>
  </si>
  <si>
    <t>P551005</t>
  </si>
  <si>
    <t>LF17511</t>
  </si>
  <si>
    <t>CH10797</t>
  </si>
  <si>
    <t>L59925</t>
  </si>
  <si>
    <t>LK377M</t>
  </si>
  <si>
    <t>Maintenance Kit</t>
  </si>
  <si>
    <t>Kit contents include: 2- LFP3236, 1-LP3985, 1-LFF4470, &amp;    1-LFF4471</t>
  </si>
  <si>
    <t>LK378M</t>
  </si>
  <si>
    <t xml:space="preserve"> Kit contents include: 2- LFP3191XL, 1-LFP8642, 1-LFF8059, &amp; 1-LFF3358</t>
  </si>
  <si>
    <t>LK376V</t>
  </si>
  <si>
    <t>Kit contents include:  2- LFP3236, 1-LFP8642, 1-LFF8059</t>
  </si>
  <si>
    <t>Caterpillar 301.5 Mini Excavator, 902  Wheel Loaders</t>
  </si>
  <si>
    <t>BF7675-D</t>
  </si>
  <si>
    <t>P551423</t>
  </si>
  <si>
    <t>FS19860</t>
  </si>
  <si>
    <t>PS7407A</t>
  </si>
  <si>
    <t>WF10092</t>
  </si>
  <si>
    <t>038568745064</t>
  </si>
  <si>
    <t>10038568745061</t>
  </si>
  <si>
    <t>Bag with label</t>
  </si>
  <si>
    <t>038568745033</t>
  </si>
  <si>
    <t>10038568745030</t>
  </si>
  <si>
    <t>Partitioned case</t>
  </si>
  <si>
    <t>038568745231</t>
  </si>
  <si>
    <t>10038568745238</t>
  </si>
  <si>
    <t>038568745002</t>
  </si>
  <si>
    <t>10038568745009</t>
  </si>
  <si>
    <t>038568648815</t>
  </si>
  <si>
    <t xml:space="preserve">10038568648812 </t>
  </si>
  <si>
    <t xml:space="preserve">LP5090A </t>
  </si>
  <si>
    <t xml:space="preserve">L8706F </t>
  </si>
  <si>
    <t xml:space="preserve">* Snap Lock Fuel Filter </t>
  </si>
  <si>
    <t xml:space="preserve"> ** Cartridge Oil Filter </t>
  </si>
  <si>
    <t>LFP9000XL</t>
  </si>
  <si>
    <t>Spin-on Oil Filter, Extended Life</t>
  </si>
  <si>
    <t>Cummins ISX, QSX engs.</t>
  </si>
  <si>
    <t>LFP9001XL</t>
  </si>
  <si>
    <t>Cummins ISX, QSX engs.  (Short Version of LFP9000XL)</t>
  </si>
  <si>
    <t>BD50000</t>
  </si>
  <si>
    <t>DBL7900</t>
  </si>
  <si>
    <t>LF14000NN</t>
  </si>
  <si>
    <t>WL10107</t>
  </si>
  <si>
    <t>LK379V</t>
  </si>
  <si>
    <t xml:space="preserve"> Kit contents include: 2- LFP3236, 1-LFP8642, 1-LFF8059, &amp; 1-L9765FXL</t>
  </si>
  <si>
    <t>038568745187</t>
  </si>
  <si>
    <t>10038568745184</t>
  </si>
  <si>
    <t>PARTITIONED CASE</t>
  </si>
  <si>
    <t>YES</t>
  </si>
  <si>
    <t xml:space="preserve">0002469506890 </t>
  </si>
  <si>
    <t>038568745149</t>
  </si>
  <si>
    <t>10038568745146</t>
  </si>
  <si>
    <t>0002468876890</t>
  </si>
  <si>
    <t>038568745248</t>
  </si>
  <si>
    <t>10038568745245</t>
  </si>
  <si>
    <t>0305469736890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</si>
</sst>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[$-409]mmmm\ d\,\ yyyy;@"/>
    <numFmt numFmtId="167" formatCode="[$-409]d\-mmm\-yy;@"/>
    <numFmt numFmtId="168" formatCode="000000000000"/>
  </numFmts>
  <fonts count="5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5"/>
      <name val="Arial"/>
      <family val="2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sz val="11"/>
      <color rgb="FF000000"/>
      <name val="Calibri"/>
      <family val="2"/>
    </font>
    <font>
      <sz val="10"/>
      <name val="Tahoma"/>
      <family val="2"/>
    </font>
    <font>
      <b/>
      <sz val="16"/>
      <color rgb="FFC00000"/>
      <name val="Arial"/>
      <family val="2"/>
    </font>
    <font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u/>
      <sz val="11"/>
      <color rgb="FF008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u/>
      <sz val="11"/>
      <color rgb="FF0070C0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5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424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5" fontId="0" fillId="7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6" fillId="11" borderId="1" xfId="0" applyNumberFormat="1" applyFont="1" applyFill="1" applyBorder="1" applyAlignment="1">
      <alignment wrapText="1"/>
    </xf>
    <xf numFmtId="0" fontId="6" fillId="11" borderId="1" xfId="0" applyFont="1" applyFill="1" applyBorder="1" applyAlignment="1">
      <alignment wrapText="1"/>
    </xf>
    <xf numFmtId="49" fontId="6" fillId="11" borderId="1" xfId="0" applyNumberFormat="1" applyFont="1" applyFill="1" applyBorder="1" applyAlignment="1">
      <alignment wrapText="1"/>
    </xf>
    <xf numFmtId="0" fontId="28" fillId="0" borderId="0" xfId="0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wrapText="1"/>
    </xf>
    <xf numFmtId="0" fontId="0" fillId="12" borderId="0" xfId="0" applyFill="1"/>
    <xf numFmtId="0" fontId="6" fillId="13" borderId="0" xfId="0" applyNumberFormat="1" applyFont="1" applyFill="1" applyBorder="1" applyAlignment="1">
      <alignment wrapText="1"/>
    </xf>
    <xf numFmtId="0" fontId="6" fillId="13" borderId="0" xfId="0" applyFont="1" applyFill="1" applyBorder="1" applyAlignment="1">
      <alignment wrapText="1"/>
    </xf>
    <xf numFmtId="49" fontId="6" fillId="13" borderId="0" xfId="0" applyNumberFormat="1" applyFont="1" applyFill="1" applyBorder="1" applyAlignment="1">
      <alignment wrapText="1"/>
    </xf>
    <xf numFmtId="0" fontId="0" fillId="12" borderId="9" xfId="0" applyFill="1" applyBorder="1"/>
    <xf numFmtId="0" fontId="9" fillId="2" borderId="0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49" fontId="32" fillId="2" borderId="8" xfId="0" applyNumberFormat="1" applyFont="1" applyFill="1" applyBorder="1" applyAlignment="1">
      <alignment horizontal="center" vertical="center" wrapText="1"/>
    </xf>
    <xf numFmtId="49" fontId="32" fillId="2" borderId="0" xfId="0" applyNumberFormat="1" applyFont="1" applyFill="1" applyBorder="1" applyAlignment="1">
      <alignment horizontal="center" vertical="center" wrapText="1"/>
    </xf>
    <xf numFmtId="49" fontId="32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3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2" fontId="16" fillId="12" borderId="1" xfId="0" quotePrefix="1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2" fontId="16" fillId="12" borderId="1" xfId="0" quotePrefix="1" applyNumberFormat="1" applyFont="1" applyFill="1" applyBorder="1" applyAlignment="1">
      <alignment horizontal="center" vertical="center"/>
    </xf>
    <xf numFmtId="2" fontId="16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0" fillId="12" borderId="0" xfId="0" applyFill="1" applyBorder="1"/>
    <xf numFmtId="0" fontId="0" fillId="12" borderId="1" xfId="0" applyFill="1" applyBorder="1"/>
    <xf numFmtId="0" fontId="27" fillId="12" borderId="1" xfId="0" applyFont="1" applyFill="1" applyBorder="1"/>
    <xf numFmtId="0" fontId="0" fillId="0" borderId="0" xfId="0" applyFill="1" applyBorder="1" applyAlignment="1">
      <alignment horizontal="center"/>
    </xf>
    <xf numFmtId="0" fontId="0" fillId="12" borderId="10" xfId="0" applyFill="1" applyBorder="1"/>
    <xf numFmtId="0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167" fontId="0" fillId="0" borderId="1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49" fontId="21" fillId="6" borderId="1" xfId="0" applyNumberFormat="1" applyFont="1" applyFill="1" applyBorder="1" applyAlignment="1">
      <alignment horizontal="left"/>
    </xf>
    <xf numFmtId="164" fontId="0" fillId="0" borderId="1" xfId="3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16" fillId="7" borderId="1" xfId="0" quotePrefix="1" applyNumberFormat="1" applyFont="1" applyFill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Alignment="1">
      <alignment horizontal="center" vertical="center" wrapText="1"/>
    </xf>
    <xf numFmtId="0" fontId="36" fillId="0" borderId="2" xfId="0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/>
    </xf>
    <xf numFmtId="49" fontId="21" fillId="6" borderId="1" xfId="0" applyNumberFormat="1" applyFont="1" applyFill="1" applyBorder="1" applyAlignment="1"/>
    <xf numFmtId="0" fontId="37" fillId="15" borderId="9" xfId="0" applyNumberFormat="1" applyFont="1" applyFill="1" applyBorder="1" applyAlignment="1">
      <alignment horizontal="center" vertical="center"/>
    </xf>
    <xf numFmtId="0" fontId="37" fillId="15" borderId="11" xfId="0" applyNumberFormat="1" applyFont="1" applyFill="1" applyBorder="1" applyAlignment="1">
      <alignment horizontal="center" vertical="center"/>
    </xf>
    <xf numFmtId="0" fontId="25" fillId="15" borderId="11" xfId="0" applyNumberFormat="1" applyFont="1" applyFill="1" applyBorder="1" applyAlignment="1">
      <alignment horizontal="center" vertical="center"/>
    </xf>
    <xf numFmtId="0" fontId="38" fillId="15" borderId="11" xfId="0" applyNumberFormat="1" applyFont="1" applyFill="1" applyBorder="1" applyAlignment="1">
      <alignment horizontal="center" vertical="center"/>
    </xf>
    <xf numFmtId="0" fontId="39" fillId="15" borderId="11" xfId="0" applyNumberFormat="1" applyFont="1" applyFill="1" applyBorder="1" applyAlignment="1">
      <alignment horizontal="center" vertical="center"/>
    </xf>
    <xf numFmtId="49" fontId="40" fillId="15" borderId="11" xfId="0" applyNumberFormat="1" applyFont="1" applyFill="1" applyBorder="1" applyAlignment="1">
      <alignment horizontal="center" vertical="center" wrapText="1"/>
    </xf>
    <xf numFmtId="0" fontId="41" fillId="15" borderId="11" xfId="0" applyNumberFormat="1" applyFont="1" applyFill="1" applyBorder="1" applyAlignment="1">
      <alignment horizontal="center" vertical="center"/>
    </xf>
    <xf numFmtId="0" fontId="29" fillId="15" borderId="11" xfId="0" applyNumberFormat="1" applyFont="1" applyFill="1" applyBorder="1" applyAlignment="1">
      <alignment horizontal="center" vertical="center"/>
    </xf>
    <xf numFmtId="0" fontId="42" fillId="15" borderId="11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44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12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16" fillId="0" borderId="9" xfId="4" applyNumberFormat="1" applyFont="1" applyFill="1" applyBorder="1" applyAlignment="1">
      <alignment horizontal="left"/>
    </xf>
    <xf numFmtId="164" fontId="0" fillId="0" borderId="9" xfId="0" applyNumberForma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4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45" fillId="0" borderId="1" xfId="0" applyFont="1" applyBorder="1"/>
    <xf numFmtId="0" fontId="45" fillId="0" borderId="1" xfId="0" applyFont="1" applyBorder="1" applyAlignment="1">
      <alignment horizontal="center"/>
    </xf>
    <xf numFmtId="0" fontId="0" fillId="0" borderId="1" xfId="0" quotePrefix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 wrapText="1"/>
    </xf>
    <xf numFmtId="0" fontId="0" fillId="0" borderId="2" xfId="0" quotePrefix="1" applyFill="1" applyBorder="1" applyAlignment="1">
      <alignment horizontal="center"/>
    </xf>
    <xf numFmtId="0" fontId="45" fillId="0" borderId="1" xfId="0" applyFont="1" applyFill="1" applyBorder="1" applyAlignment="1" applyProtection="1">
      <alignment horizontal="center" wrapText="1"/>
    </xf>
    <xf numFmtId="164" fontId="0" fillId="0" borderId="1" xfId="0" applyNumberFormat="1" applyFont="1" applyBorder="1" applyAlignment="1">
      <alignment horizontal="center"/>
    </xf>
    <xf numFmtId="49" fontId="46" fillId="0" borderId="1" xfId="0" applyNumberFormat="1" applyFont="1" applyBorder="1" applyAlignment="1">
      <alignment horizontal="center"/>
    </xf>
    <xf numFmtId="1" fontId="46" fillId="0" borderId="1" xfId="0" applyNumberFormat="1" applyFont="1" applyBorder="1" applyAlignment="1">
      <alignment horizontal="center"/>
    </xf>
    <xf numFmtId="165" fontId="0" fillId="12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5" fontId="0" fillId="0" borderId="3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12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47" fillId="0" borderId="1" xfId="0" applyNumberFormat="1" applyFont="1" applyBorder="1" applyAlignment="1">
      <alignment horizontal="center" vertical="center"/>
    </xf>
    <xf numFmtId="1" fontId="47" fillId="0" borderId="1" xfId="0" applyNumberFormat="1" applyFont="1" applyBorder="1" applyAlignment="1">
      <alignment horizontal="center" vertical="center"/>
    </xf>
    <xf numFmtId="165" fontId="0" fillId="12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 applyProtection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48" fillId="0" borderId="12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165" fontId="0" fillId="7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 wrapText="1"/>
    </xf>
    <xf numFmtId="165" fontId="0" fillId="12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5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8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/>
    </xf>
    <xf numFmtId="1" fontId="46" fillId="0" borderId="1" xfId="0" applyNumberFormat="1" applyFont="1" applyBorder="1" applyAlignment="1">
      <alignment horizontal="center" vertical="center"/>
    </xf>
    <xf numFmtId="165" fontId="0" fillId="12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68" fontId="50" fillId="0" borderId="1" xfId="2" applyNumberFormat="1" applyFont="1" applyBorder="1" applyAlignment="1">
      <alignment horizontal="center" vertical="center"/>
    </xf>
    <xf numFmtId="1" fontId="50" fillId="0" borderId="1" xfId="2" applyNumberFormat="1" applyFont="1" applyBorder="1" applyAlignment="1">
      <alignment horizontal="center" vertical="center"/>
    </xf>
    <xf numFmtId="0" fontId="51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 vertical="center" wrapText="1"/>
    </xf>
    <xf numFmtId="164" fontId="24" fillId="0" borderId="1" xfId="4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48" fillId="0" borderId="1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5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" fontId="53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 wrapText="1"/>
    </xf>
    <xf numFmtId="0" fontId="24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53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" fontId="5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2" fontId="16" fillId="12" borderId="1" xfId="0" quotePrefix="1" applyNumberFormat="1" applyFont="1" applyFill="1" applyBorder="1" applyAlignment="1">
      <alignment horizontal="center" wrapText="1"/>
    </xf>
    <xf numFmtId="165" fontId="16" fillId="12" borderId="1" xfId="0" quotePrefix="1" applyNumberFormat="1" applyFont="1" applyFill="1" applyBorder="1" applyAlignment="1">
      <alignment horizontal="center" wrapText="1"/>
    </xf>
    <xf numFmtId="165" fontId="16" fillId="12" borderId="1" xfId="0" applyNumberFormat="1" applyFont="1" applyFill="1" applyBorder="1" applyAlignment="1">
      <alignment horizontal="center" wrapText="1"/>
    </xf>
    <xf numFmtId="165" fontId="16" fillId="12" borderId="1" xfId="0" applyNumberFormat="1" applyFont="1" applyFill="1" applyBorder="1" applyAlignment="1">
      <alignment horizontal="center"/>
    </xf>
    <xf numFmtId="0" fontId="16" fillId="12" borderId="1" xfId="0" quotePrefix="1" applyFont="1" applyFill="1" applyBorder="1" applyAlignment="1">
      <alignment horizontal="center"/>
    </xf>
    <xf numFmtId="1" fontId="16" fillId="12" borderId="1" xfId="0" applyNumberFormat="1" applyFont="1" applyFill="1" applyBorder="1" applyAlignment="1">
      <alignment horizontal="center" wrapText="1"/>
    </xf>
    <xf numFmtId="2" fontId="0" fillId="7" borderId="1" xfId="0" applyNumberFormat="1" applyFill="1" applyBorder="1" applyAlignment="1">
      <alignment horizontal="center" wrapText="1"/>
    </xf>
    <xf numFmtId="2" fontId="16" fillId="12" borderId="1" xfId="0" quotePrefix="1" applyNumberFormat="1" applyFont="1" applyFill="1" applyBorder="1" applyAlignment="1">
      <alignment horizontal="center"/>
    </xf>
    <xf numFmtId="165" fontId="16" fillId="12" borderId="1" xfId="0" applyNumberFormat="1" applyFont="1" applyFill="1" applyBorder="1" applyAlignment="1">
      <alignment horizontal="center" vertical="center"/>
    </xf>
    <xf numFmtId="165" fontId="16" fillId="12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center" wrapText="1"/>
    </xf>
    <xf numFmtId="165" fontId="16" fillId="12" borderId="1" xfId="0" quotePrefix="1" applyNumberFormat="1" applyFont="1" applyFill="1" applyBorder="1" applyAlignment="1">
      <alignment horizontal="center" vertical="center" wrapText="1"/>
    </xf>
    <xf numFmtId="0" fontId="16" fillId="12" borderId="1" xfId="0" quotePrefix="1" applyFont="1" applyFill="1" applyBorder="1" applyAlignment="1">
      <alignment horizontal="center" vertical="center"/>
    </xf>
    <xf numFmtId="164" fontId="0" fillId="0" borderId="1" xfId="4" applyNumberFormat="1" applyFont="1" applyFill="1" applyBorder="1" applyAlignment="1">
      <alignment horizontal="center"/>
    </xf>
    <xf numFmtId="0" fontId="27" fillId="0" borderId="0" xfId="0" applyFont="1"/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56" fillId="0" borderId="1" xfId="0" applyNumberFormat="1" applyFont="1" applyBorder="1" applyAlignment="1">
      <alignment horizontal="center"/>
    </xf>
    <xf numFmtId="0" fontId="57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31" fillId="15" borderId="1" xfId="0" applyNumberFormat="1" applyFont="1" applyFill="1" applyBorder="1" applyAlignment="1">
      <alignment horizontal="center" vertical="center" wrapText="1"/>
    </xf>
    <xf numFmtId="0" fontId="31" fillId="0" borderId="5" xfId="0" applyNumberFormat="1" applyFont="1" applyFill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center" vertical="center"/>
    </xf>
    <xf numFmtId="0" fontId="31" fillId="0" borderId="7" xfId="0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  <xf numFmtId="164" fontId="0" fillId="0" borderId="1" xfId="4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58" fillId="0" borderId="0" xfId="0" applyFont="1"/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7" borderId="1" xfId="0" quotePrefix="1" applyNumberForma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17" borderId="0" xfId="0" applyNumberFormat="1" applyFill="1" applyBorder="1" applyAlignment="1">
      <alignment horizontal="center" vertical="center"/>
    </xf>
    <xf numFmtId="0" fontId="45" fillId="17" borderId="1" xfId="0" applyFont="1" applyFill="1" applyBorder="1" applyAlignment="1" applyProtection="1">
      <alignment horizontal="center" vertical="center" wrapText="1"/>
    </xf>
    <xf numFmtId="0" fontId="16" fillId="16" borderId="1" xfId="0" applyFont="1" applyFill="1" applyBorder="1" applyAlignment="1">
      <alignment horizontal="center"/>
    </xf>
    <xf numFmtId="49" fontId="45" fillId="0" borderId="1" xfId="0" applyNumberFormat="1" applyFont="1" applyFill="1" applyBorder="1" applyAlignment="1" applyProtection="1">
      <alignment horizontal="center" vertical="center" wrapText="1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" fontId="20" fillId="4" borderId="3" xfId="0" applyNumberFormat="1" applyFont="1" applyFill="1" applyBorder="1" applyAlignment="1">
      <alignment horizontal="left" vertical="center" wrapText="1"/>
    </xf>
    <xf numFmtId="1" fontId="20" fillId="4" borderId="4" xfId="0" applyNumberFormat="1" applyFont="1" applyFill="1" applyBorder="1" applyAlignment="1">
      <alignment horizontal="left" vertical="center" wrapText="1"/>
    </xf>
    <xf numFmtId="1" fontId="20" fillId="4" borderId="2" xfId="0" applyNumberFormat="1" applyFont="1" applyFill="1" applyBorder="1" applyAlignment="1">
      <alignment horizontal="left" vertical="center" wrapText="1"/>
    </xf>
    <xf numFmtId="165" fontId="18" fillId="4" borderId="3" xfId="0" applyNumberFormat="1" applyFont="1" applyFill="1" applyBorder="1" applyAlignment="1">
      <alignment horizontal="left" vertical="center" wrapText="1"/>
    </xf>
    <xf numFmtId="165" fontId="18" fillId="4" borderId="4" xfId="0" applyNumberFormat="1" applyFont="1" applyFill="1" applyBorder="1" applyAlignment="1">
      <alignment horizontal="left" vertical="center" wrapText="1"/>
    </xf>
    <xf numFmtId="165" fontId="18" fillId="4" borderId="2" xfId="0" applyNumberFormat="1" applyFont="1" applyFill="1" applyBorder="1" applyAlignment="1">
      <alignment horizontal="left" vertical="center" wrapText="1"/>
    </xf>
    <xf numFmtId="165" fontId="19" fillId="5" borderId="3" xfId="0" applyNumberFormat="1" applyFont="1" applyFill="1" applyBorder="1" applyAlignment="1">
      <alignment horizontal="left" vertical="center" wrapText="1"/>
    </xf>
    <xf numFmtId="165" fontId="19" fillId="5" borderId="4" xfId="0" applyNumberFormat="1" applyFont="1" applyFill="1" applyBorder="1" applyAlignment="1">
      <alignment horizontal="left" vertical="center" wrapText="1"/>
    </xf>
    <xf numFmtId="165" fontId="19" fillId="5" borderId="2" xfId="0" applyNumberFormat="1" applyFont="1" applyFill="1" applyBorder="1" applyAlignment="1">
      <alignment horizontal="left" vertical="center" wrapText="1"/>
    </xf>
    <xf numFmtId="0" fontId="30" fillId="14" borderId="1" xfId="0" applyNumberFormat="1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4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5" fillId="9" borderId="3" xfId="0" applyNumberFormat="1" applyFont="1" applyFill="1" applyBorder="1" applyAlignment="1">
      <alignment horizontal="left" vertical="center"/>
    </xf>
    <xf numFmtId="0" fontId="5" fillId="9" borderId="4" xfId="0" applyNumberFormat="1" applyFont="1" applyFill="1" applyBorder="1" applyAlignment="1">
      <alignment horizontal="left" vertical="center"/>
    </xf>
    <xf numFmtId="0" fontId="5" fillId="9" borderId="2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vertical="center" wrapText="1"/>
    </xf>
    <xf numFmtId="49" fontId="23" fillId="1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23" fillId="10" borderId="3" xfId="0" applyNumberFormat="1" applyFont="1" applyFill="1" applyBorder="1" applyAlignment="1">
      <alignment horizontal="left" vertical="center" wrapText="1"/>
    </xf>
    <xf numFmtId="49" fontId="23" fillId="10" borderId="4" xfId="0" applyNumberFormat="1" applyFont="1" applyFill="1" applyBorder="1" applyAlignment="1">
      <alignment horizontal="left" vertical="center" wrapText="1"/>
    </xf>
    <xf numFmtId="49" fontId="23" fillId="10" borderId="2" xfId="0" applyNumberFormat="1" applyFont="1" applyFill="1" applyBorder="1" applyAlignment="1">
      <alignment horizontal="left" vertical="center" wrapText="1"/>
    </xf>
    <xf numFmtId="165" fontId="18" fillId="4" borderId="1" xfId="0" applyNumberFormat="1" applyFont="1" applyFill="1" applyBorder="1" applyAlignment="1">
      <alignment horizontal="left" vertical="center" wrapText="1"/>
    </xf>
    <xf numFmtId="165" fontId="19" fillId="5" borderId="1" xfId="0" applyNumberFormat="1" applyFont="1" applyFill="1" applyBorder="1" applyAlignment="1">
      <alignment horizontal="left" vertical="center" wrapText="1"/>
    </xf>
    <xf numFmtId="165" fontId="16" fillId="12" borderId="3" xfId="0" quotePrefix="1" applyNumberFormat="1" applyFont="1" applyFill="1" applyBorder="1" applyAlignment="1">
      <alignment horizontal="center" vertical="center" wrapText="1"/>
    </xf>
    <xf numFmtId="165" fontId="16" fillId="12" borderId="4" xfId="0" quotePrefix="1" applyNumberFormat="1" applyFont="1" applyFill="1" applyBorder="1" applyAlignment="1">
      <alignment horizontal="center" vertical="center" wrapText="1"/>
    </xf>
    <xf numFmtId="165" fontId="16" fillId="12" borderId="2" xfId="0" quotePrefix="1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</cellXfs>
  <cellStyles count="5">
    <cellStyle name="Currency" xfId="4" builtinId="4"/>
    <cellStyle name="Normal" xfId="0" builtinId="0"/>
    <cellStyle name="Normal 3" xfId="1"/>
    <cellStyle name="Normal 9" xfId="2"/>
    <cellStyle name="Percent" xfId="3" builtinId="5"/>
  </cellStyles>
  <dxfs count="0"/>
  <tableStyles count="0" defaultTableStyle="TableStyleMedium9" defaultPivotStyle="PivotStyleLight16"/>
  <colors>
    <mruColors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937780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504825</xdr:colOff>
      <xdr:row>2</xdr:row>
      <xdr:rowOff>17780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36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X42"/>
  <sheetViews>
    <sheetView showGridLines="0" tabSelected="1" zoomScale="110" zoomScaleNormal="11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A6" sqref="A6"/>
    </sheetView>
  </sheetViews>
  <sheetFormatPr defaultColWidth="9.140625" defaultRowHeight="15" x14ac:dyDescent="0.25"/>
  <cols>
    <col min="1" max="1" width="12.42578125" style="4" customWidth="1"/>
    <col min="2" max="2" width="10.28515625" style="4" hidden="1" customWidth="1"/>
    <col min="3" max="3" width="14.5703125" style="14" customWidth="1"/>
    <col min="4" max="4" width="8.7109375" style="14" hidden="1" customWidth="1"/>
    <col min="5" max="5" width="45.7109375" style="4" bestFit="1" customWidth="1"/>
    <col min="6" max="6" width="51" style="11" customWidth="1"/>
    <col min="7" max="7" width="30.140625" style="4" customWidth="1"/>
    <col min="8" max="8" width="18.42578125" style="4" bestFit="1" customWidth="1"/>
    <col min="9" max="9" width="14" style="4" customWidth="1"/>
    <col min="10" max="10" width="14.28515625" style="4" customWidth="1"/>
    <col min="11" max="11" width="21" style="4" customWidth="1"/>
    <col min="12" max="12" width="10.710937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customWidth="1"/>
    <col min="18" max="18" width="9.7109375" style="4" customWidth="1"/>
    <col min="19" max="19" width="13.140625" style="4" customWidth="1"/>
    <col min="20" max="20" width="12.140625" style="4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5.28515625" style="4" bestFit="1" customWidth="1"/>
    <col min="33" max="33" width="10.28515625" style="4" customWidth="1"/>
    <col min="34" max="34" width="15.5703125" style="4" customWidth="1"/>
    <col min="35" max="35" width="9.5703125" style="4" customWidth="1"/>
    <col min="36" max="36" width="10.5703125" style="4" customWidth="1"/>
    <col min="37" max="37" width="8" style="4" customWidth="1"/>
    <col min="38" max="39" width="9.28515625" style="4" customWidth="1"/>
    <col min="40" max="41" width="14.140625" style="4" customWidth="1"/>
    <col min="42" max="42" width="10.28515625" style="4" customWidth="1"/>
    <col min="43" max="43" width="9" style="4" customWidth="1"/>
    <col min="44" max="44" width="17.7109375" style="4" bestFit="1" customWidth="1"/>
    <col min="45" max="45" width="13.140625" style="4" bestFit="1" customWidth="1"/>
    <col min="46" max="46" width="15.140625" style="4" bestFit="1" customWidth="1"/>
    <col min="47" max="47" width="7" style="4" bestFit="1" customWidth="1"/>
    <col min="48" max="48" width="6.5703125" style="4" bestFit="1" customWidth="1"/>
    <col min="49" max="49" width="6.85546875" style="4" bestFit="1" customWidth="1"/>
    <col min="50" max="50" width="5.5703125" style="4" bestFit="1" customWidth="1"/>
    <col min="51" max="51" width="6.85546875" style="4" bestFit="1" customWidth="1"/>
    <col min="52" max="52" width="4.5703125" style="4" bestFit="1" customWidth="1"/>
    <col min="53" max="53" width="7" style="4" bestFit="1" customWidth="1"/>
    <col min="54" max="54" width="6.5703125" style="4" bestFit="1" customWidth="1"/>
    <col min="55" max="55" width="6.85546875" style="4" bestFit="1" customWidth="1"/>
    <col min="56" max="56" width="5.5703125" style="4" bestFit="1" customWidth="1"/>
    <col min="57" max="57" width="7.5703125" style="4" bestFit="1" customWidth="1"/>
    <col min="58" max="58" width="7" style="4" bestFit="1" customWidth="1"/>
    <col min="59" max="59" width="6.5703125" style="4" bestFit="1" customWidth="1"/>
    <col min="60" max="60" width="6.85546875" style="4" bestFit="1" customWidth="1"/>
    <col min="61" max="61" width="5.5703125" style="4" bestFit="1" customWidth="1"/>
    <col min="62" max="62" width="7.5703125" style="4" bestFit="1" customWidth="1"/>
    <col min="63" max="64" width="7.5703125" style="4" customWidth="1"/>
    <col min="65" max="65" width="17.85546875" style="4" customWidth="1"/>
    <col min="66" max="66" width="10.42578125" style="4" bestFit="1" customWidth="1"/>
    <col min="67" max="67" width="12" style="4" bestFit="1" customWidth="1"/>
    <col min="68" max="69" width="14.42578125" style="4" bestFit="1" customWidth="1"/>
    <col min="70" max="70" width="13.28515625" style="4" bestFit="1" customWidth="1"/>
    <col min="71" max="71" width="16.28515625" style="4" bestFit="1" customWidth="1"/>
    <col min="72" max="72" width="22.28515625" style="4" customWidth="1"/>
    <col min="73" max="73" width="12.140625" style="4" hidden="1" customWidth="1"/>
    <col min="74" max="74" width="15.42578125" style="4" hidden="1" customWidth="1"/>
    <col min="75" max="75" width="12.42578125" style="4" hidden="1" customWidth="1"/>
    <col min="76" max="76" width="15.85546875" style="4" hidden="1" customWidth="1"/>
    <col min="77" max="16384" width="9.140625" style="4"/>
  </cols>
  <sheetData>
    <row r="1" spans="1:76" x14ac:dyDescent="0.25">
      <c r="F1" s="77" t="s">
        <v>713</v>
      </c>
    </row>
    <row r="2" spans="1:76" ht="23.25" x14ac:dyDescent="0.25">
      <c r="F2" s="2" t="s">
        <v>2971</v>
      </c>
      <c r="H2" s="2"/>
      <c r="I2" s="3"/>
    </row>
    <row r="3" spans="1:76" ht="20.25" x14ac:dyDescent="0.25">
      <c r="F3" s="30">
        <v>42915</v>
      </c>
    </row>
    <row r="4" spans="1:76" ht="15.75" customHeight="1" x14ac:dyDescent="0.25">
      <c r="A4" s="385" t="s">
        <v>17</v>
      </c>
      <c r="B4" s="385"/>
      <c r="C4" s="385"/>
      <c r="D4" s="385"/>
      <c r="E4" s="385"/>
      <c r="F4" s="385"/>
      <c r="G4" s="386" t="s">
        <v>15</v>
      </c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8"/>
      <c r="U4" s="389" t="s">
        <v>16</v>
      </c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1"/>
      <c r="AR4" s="109" t="s">
        <v>67</v>
      </c>
      <c r="AS4" s="392" t="s">
        <v>19</v>
      </c>
      <c r="AT4" s="392"/>
      <c r="AU4" s="393" t="s">
        <v>70</v>
      </c>
      <c r="AV4" s="393"/>
      <c r="AW4" s="393"/>
      <c r="AX4" s="393"/>
      <c r="AY4" s="393"/>
      <c r="AZ4" s="393"/>
      <c r="BA4" s="379" t="s">
        <v>21</v>
      </c>
      <c r="BB4" s="380"/>
      <c r="BC4" s="380"/>
      <c r="BD4" s="380"/>
      <c r="BE4" s="381"/>
      <c r="BF4" s="382" t="s">
        <v>27</v>
      </c>
      <c r="BG4" s="383"/>
      <c r="BH4" s="383"/>
      <c r="BI4" s="383"/>
      <c r="BJ4" s="384"/>
      <c r="BK4" s="376" t="s">
        <v>33</v>
      </c>
      <c r="BL4" s="377"/>
      <c r="BM4" s="377"/>
      <c r="BN4" s="377"/>
      <c r="BO4" s="377"/>
      <c r="BP4" s="377"/>
      <c r="BQ4" s="377"/>
      <c r="BR4" s="377"/>
      <c r="BS4" s="377"/>
      <c r="BT4" s="378"/>
    </row>
    <row r="5" spans="1:76" ht="30" x14ac:dyDescent="0.25">
      <c r="A5" s="64" t="s">
        <v>74</v>
      </c>
      <c r="B5" s="65" t="s">
        <v>75</v>
      </c>
      <c r="C5" s="66" t="s">
        <v>0</v>
      </c>
      <c r="D5" s="67" t="s">
        <v>66</v>
      </c>
      <c r="E5" s="66" t="s">
        <v>2</v>
      </c>
      <c r="F5" s="68" t="s">
        <v>1</v>
      </c>
      <c r="G5" s="69" t="s">
        <v>3</v>
      </c>
      <c r="H5" s="70" t="s">
        <v>7</v>
      </c>
      <c r="I5" s="70" t="s">
        <v>4</v>
      </c>
      <c r="J5" s="70" t="s">
        <v>6</v>
      </c>
      <c r="K5" s="70" t="s">
        <v>5</v>
      </c>
      <c r="L5" s="70" t="s">
        <v>54</v>
      </c>
      <c r="M5" s="70" t="s">
        <v>52</v>
      </c>
      <c r="N5" s="70" t="s">
        <v>55</v>
      </c>
      <c r="O5" s="70" t="s">
        <v>56</v>
      </c>
      <c r="P5" s="70" t="s">
        <v>57</v>
      </c>
      <c r="Q5" s="70" t="s">
        <v>58</v>
      </c>
      <c r="R5" s="70" t="s">
        <v>59</v>
      </c>
      <c r="S5" s="70" t="s">
        <v>64</v>
      </c>
      <c r="T5" s="71" t="s">
        <v>59</v>
      </c>
      <c r="U5" s="61" t="s">
        <v>8</v>
      </c>
      <c r="V5" s="62" t="s">
        <v>46</v>
      </c>
      <c r="W5" s="62" t="s">
        <v>9</v>
      </c>
      <c r="X5" s="62" t="s">
        <v>35</v>
      </c>
      <c r="Y5" s="62" t="s">
        <v>10</v>
      </c>
      <c r="Z5" s="62" t="s">
        <v>47</v>
      </c>
      <c r="AA5" s="62" t="s">
        <v>11</v>
      </c>
      <c r="AB5" s="62" t="s">
        <v>51</v>
      </c>
      <c r="AC5" s="62" t="s">
        <v>12</v>
      </c>
      <c r="AD5" s="62" t="s">
        <v>50</v>
      </c>
      <c r="AE5" s="62" t="s">
        <v>48</v>
      </c>
      <c r="AF5" s="62" t="s">
        <v>715</v>
      </c>
      <c r="AG5" s="62" t="s">
        <v>14</v>
      </c>
      <c r="AH5" s="62" t="s">
        <v>36</v>
      </c>
      <c r="AI5" s="62" t="s">
        <v>694</v>
      </c>
      <c r="AJ5" s="62" t="s">
        <v>49</v>
      </c>
      <c r="AK5" s="62" t="s">
        <v>45</v>
      </c>
      <c r="AL5" s="62" t="s">
        <v>37</v>
      </c>
      <c r="AM5" s="62" t="s">
        <v>68</v>
      </c>
      <c r="AN5" s="62" t="s">
        <v>38</v>
      </c>
      <c r="AO5" s="62" t="s">
        <v>699</v>
      </c>
      <c r="AP5" s="62" t="s">
        <v>39</v>
      </c>
      <c r="AQ5" s="63" t="s">
        <v>13</v>
      </c>
      <c r="AR5" s="72" t="s">
        <v>20</v>
      </c>
      <c r="AS5" s="73" t="s">
        <v>18</v>
      </c>
      <c r="AT5" s="74" t="s">
        <v>53</v>
      </c>
      <c r="AU5" s="78" t="s">
        <v>22</v>
      </c>
      <c r="AV5" s="79" t="s">
        <v>23</v>
      </c>
      <c r="AW5" s="79" t="s">
        <v>24</v>
      </c>
      <c r="AX5" s="79" t="s">
        <v>71</v>
      </c>
      <c r="AY5" s="79" t="s">
        <v>24</v>
      </c>
      <c r="AZ5" s="80" t="s">
        <v>72</v>
      </c>
      <c r="BA5" s="75" t="s">
        <v>22</v>
      </c>
      <c r="BB5" s="57" t="s">
        <v>23</v>
      </c>
      <c r="BC5" s="57" t="s">
        <v>24</v>
      </c>
      <c r="BD5" s="57" t="s">
        <v>25</v>
      </c>
      <c r="BE5" s="76" t="s">
        <v>26</v>
      </c>
      <c r="BF5" s="58" t="s">
        <v>22</v>
      </c>
      <c r="BG5" s="59" t="s">
        <v>23</v>
      </c>
      <c r="BH5" s="59" t="s">
        <v>24</v>
      </c>
      <c r="BI5" s="59" t="s">
        <v>25</v>
      </c>
      <c r="BJ5" s="60" t="s">
        <v>26</v>
      </c>
      <c r="BK5" s="346" t="s">
        <v>2887</v>
      </c>
      <c r="BL5" s="346" t="s">
        <v>2888</v>
      </c>
      <c r="BM5" s="347" t="s">
        <v>44</v>
      </c>
      <c r="BN5" s="348" t="s">
        <v>28</v>
      </c>
      <c r="BO5" s="348" t="s">
        <v>29</v>
      </c>
      <c r="BP5" s="348" t="s">
        <v>30</v>
      </c>
      <c r="BQ5" s="348" t="s">
        <v>31</v>
      </c>
      <c r="BR5" s="348" t="s">
        <v>32</v>
      </c>
      <c r="BS5" s="348" t="s">
        <v>34</v>
      </c>
      <c r="BT5" s="349" t="s">
        <v>43</v>
      </c>
      <c r="BU5" s="8" t="s">
        <v>40</v>
      </c>
      <c r="BV5" s="8" t="s">
        <v>41</v>
      </c>
      <c r="BW5" s="8" t="s">
        <v>42</v>
      </c>
    </row>
    <row r="6" spans="1:76" s="1" customFormat="1" x14ac:dyDescent="0.25">
      <c r="A6" s="356">
        <v>42915</v>
      </c>
      <c r="B6" s="252" t="s">
        <v>14</v>
      </c>
      <c r="C6" s="252" t="s">
        <v>3043</v>
      </c>
      <c r="D6" s="252" t="s">
        <v>60</v>
      </c>
      <c r="E6" s="252" t="s">
        <v>3044</v>
      </c>
      <c r="F6" s="260" t="s">
        <v>3045</v>
      </c>
      <c r="G6" s="368" t="s">
        <v>1524</v>
      </c>
      <c r="H6" s="368" t="s">
        <v>1546</v>
      </c>
      <c r="I6" s="368"/>
      <c r="J6" s="368"/>
      <c r="K6" s="25"/>
      <c r="L6" s="26"/>
      <c r="M6" s="26"/>
      <c r="N6" s="26"/>
      <c r="O6" s="254"/>
      <c r="P6" s="254"/>
      <c r="Q6" s="254"/>
      <c r="R6" s="254"/>
      <c r="S6" s="254"/>
      <c r="T6" s="254"/>
      <c r="U6" s="25"/>
      <c r="V6" s="33"/>
      <c r="W6" s="25"/>
      <c r="X6" s="33"/>
      <c r="Y6" s="31"/>
      <c r="Z6" s="33"/>
      <c r="AA6" s="25"/>
      <c r="AB6" s="368"/>
      <c r="AC6" s="368"/>
      <c r="AD6" s="41"/>
      <c r="AE6" s="368"/>
      <c r="AF6" s="368"/>
      <c r="AG6" s="368"/>
      <c r="AH6" s="368"/>
      <c r="AI6" s="368"/>
      <c r="AJ6" s="368"/>
      <c r="AK6" s="368"/>
      <c r="AL6" s="31"/>
      <c r="AM6" s="368"/>
      <c r="AN6" s="368"/>
      <c r="AO6" s="368"/>
      <c r="AP6" s="368"/>
      <c r="AQ6" s="368"/>
      <c r="AR6" s="209">
        <v>74.099999999999994</v>
      </c>
      <c r="AS6" s="202" t="s">
        <v>3054</v>
      </c>
      <c r="AT6" s="202" t="s">
        <v>3055</v>
      </c>
      <c r="AU6" s="36"/>
      <c r="AV6" s="36"/>
      <c r="AW6" s="36"/>
      <c r="AX6" s="367">
        <v>4.6500000000000004</v>
      </c>
      <c r="AY6" s="367">
        <v>13.9</v>
      </c>
      <c r="AZ6" s="365"/>
      <c r="BA6" s="373" t="s">
        <v>3056</v>
      </c>
      <c r="BB6" s="374"/>
      <c r="BC6" s="374"/>
      <c r="BD6" s="374"/>
      <c r="BE6" s="375"/>
      <c r="BF6" s="360">
        <v>15.09</v>
      </c>
      <c r="BG6" s="155">
        <v>10.09</v>
      </c>
      <c r="BH6" s="155">
        <v>14.81</v>
      </c>
      <c r="BI6" s="155">
        <f t="shared" ref="BI6" si="0">(BF6*BG6*BH6)/1728</f>
        <v>1.3049435538194443</v>
      </c>
      <c r="BJ6" s="359">
        <v>1.17</v>
      </c>
      <c r="BK6" s="360">
        <v>3.93</v>
      </c>
      <c r="BL6" s="360">
        <f>(BK6*BN6)+BJ6</f>
        <v>24.75</v>
      </c>
      <c r="BM6" s="84" t="s">
        <v>3057</v>
      </c>
      <c r="BN6" s="84">
        <v>6</v>
      </c>
      <c r="BO6" s="84">
        <v>12</v>
      </c>
      <c r="BP6" s="84">
        <v>3</v>
      </c>
      <c r="BQ6" s="84">
        <f t="shared" ref="BQ6" si="1">BN6*BO6*BP6</f>
        <v>216</v>
      </c>
      <c r="BR6" s="186">
        <f>(BO6*BP6*BL6)+50</f>
        <v>941</v>
      </c>
      <c r="BS6" s="84" t="s">
        <v>886</v>
      </c>
      <c r="BT6" s="90" t="s">
        <v>780</v>
      </c>
      <c r="BU6" s="81"/>
      <c r="BV6" s="81"/>
      <c r="BW6" s="248"/>
      <c r="BX6" s="372" t="s">
        <v>3058</v>
      </c>
    </row>
    <row r="7" spans="1:76" s="1" customFormat="1" x14ac:dyDescent="0.25">
      <c r="A7" s="356">
        <v>42915</v>
      </c>
      <c r="B7" s="252" t="s">
        <v>14</v>
      </c>
      <c r="C7" s="252" t="s">
        <v>3046</v>
      </c>
      <c r="D7" s="252" t="s">
        <v>60</v>
      </c>
      <c r="E7" s="252" t="s">
        <v>3044</v>
      </c>
      <c r="F7" s="214" t="s">
        <v>3047</v>
      </c>
      <c r="G7" s="41" t="s">
        <v>1524</v>
      </c>
      <c r="H7" s="368">
        <v>4367100</v>
      </c>
      <c r="I7" s="368"/>
      <c r="J7" s="368"/>
      <c r="K7" s="25"/>
      <c r="L7" s="26"/>
      <c r="M7" s="26"/>
      <c r="N7" s="26"/>
      <c r="O7" s="254"/>
      <c r="P7" s="254"/>
      <c r="Q7" s="254"/>
      <c r="R7" s="254"/>
      <c r="S7" s="254"/>
      <c r="T7" s="254"/>
      <c r="U7" s="25" t="s">
        <v>3048</v>
      </c>
      <c r="V7" s="33"/>
      <c r="W7" s="25"/>
      <c r="X7" s="33"/>
      <c r="Y7" s="31" t="s">
        <v>3049</v>
      </c>
      <c r="Z7" s="33"/>
      <c r="AA7" s="25" t="s">
        <v>3050</v>
      </c>
      <c r="AB7" s="368"/>
      <c r="AC7" s="368"/>
      <c r="AD7" s="41"/>
      <c r="AE7" s="368"/>
      <c r="AF7" s="368"/>
      <c r="AG7" s="368"/>
      <c r="AH7" s="368"/>
      <c r="AI7" s="368"/>
      <c r="AJ7" s="368"/>
      <c r="AK7" s="368"/>
      <c r="AL7" s="31"/>
      <c r="AM7" s="368"/>
      <c r="AN7" s="368"/>
      <c r="AO7" s="368"/>
      <c r="AP7" s="368"/>
      <c r="AQ7" s="31" t="s">
        <v>3051</v>
      </c>
      <c r="AR7" s="209">
        <v>55.89</v>
      </c>
      <c r="AS7" s="202" t="s">
        <v>3059</v>
      </c>
      <c r="AT7" s="202" t="s">
        <v>3060</v>
      </c>
      <c r="AU7" s="36"/>
      <c r="AV7" s="36"/>
      <c r="AW7" s="36"/>
      <c r="AX7" s="367">
        <v>4.6500000000000004</v>
      </c>
      <c r="AY7" s="367">
        <v>11.904</v>
      </c>
      <c r="AZ7" s="365"/>
      <c r="BA7" s="373" t="s">
        <v>3056</v>
      </c>
      <c r="BB7" s="374"/>
      <c r="BC7" s="374"/>
      <c r="BD7" s="374"/>
      <c r="BE7" s="375"/>
      <c r="BF7" s="360">
        <v>15.01</v>
      </c>
      <c r="BG7" s="155">
        <v>10.26</v>
      </c>
      <c r="BH7" s="155">
        <v>13.27</v>
      </c>
      <c r="BI7" s="155">
        <f>(BF7*BG7*BH7)/1728</f>
        <v>1.18264728125</v>
      </c>
      <c r="BJ7" s="359">
        <v>1.1000000000000001</v>
      </c>
      <c r="BK7" s="360">
        <v>3.6</v>
      </c>
      <c r="BL7" s="360">
        <f>(BK7*BN7)+BJ7</f>
        <v>22.700000000000003</v>
      </c>
      <c r="BM7" s="84" t="s">
        <v>3057</v>
      </c>
      <c r="BN7" s="84">
        <v>6</v>
      </c>
      <c r="BO7" s="84">
        <v>10</v>
      </c>
      <c r="BP7" s="84">
        <v>3</v>
      </c>
      <c r="BQ7" s="84">
        <f>BN7*BO7*BP7</f>
        <v>180</v>
      </c>
      <c r="BR7" s="186">
        <f>(BO7*BP7*BL7)+50</f>
        <v>731.00000000000011</v>
      </c>
      <c r="BS7" s="84" t="s">
        <v>886</v>
      </c>
      <c r="BT7" s="90" t="s">
        <v>780</v>
      </c>
      <c r="BU7" s="81"/>
      <c r="BV7" s="81"/>
      <c r="BW7" s="248"/>
      <c r="BX7" s="372" t="s">
        <v>3061</v>
      </c>
    </row>
    <row r="8" spans="1:76" s="1" customFormat="1" ht="30" x14ac:dyDescent="0.25">
      <c r="A8" s="356">
        <v>42915</v>
      </c>
      <c r="B8" s="252" t="s">
        <v>14</v>
      </c>
      <c r="C8" s="252" t="s">
        <v>3052</v>
      </c>
      <c r="D8" s="252" t="s">
        <v>60</v>
      </c>
      <c r="E8" s="252" t="s">
        <v>3015</v>
      </c>
      <c r="F8" s="214" t="s">
        <v>3053</v>
      </c>
      <c r="G8" s="41" t="s">
        <v>1351</v>
      </c>
      <c r="H8" s="368" t="s">
        <v>1546</v>
      </c>
      <c r="I8" s="368"/>
      <c r="J8" s="368"/>
      <c r="K8" s="25"/>
      <c r="L8" s="26"/>
      <c r="M8" s="26"/>
      <c r="N8" s="26"/>
      <c r="O8" s="26"/>
      <c r="P8" s="26"/>
      <c r="Q8" s="26"/>
      <c r="R8" s="26"/>
      <c r="S8" s="26"/>
      <c r="T8" s="26"/>
      <c r="U8" s="25"/>
      <c r="V8" s="33"/>
      <c r="W8" s="25"/>
      <c r="X8" s="33"/>
      <c r="Y8" s="31"/>
      <c r="Z8" s="33"/>
      <c r="AA8" s="25"/>
      <c r="AB8" s="368"/>
      <c r="AC8" s="368"/>
      <c r="AD8" s="41"/>
      <c r="AE8" s="368"/>
      <c r="AF8" s="368"/>
      <c r="AG8" s="368"/>
      <c r="AH8" s="368"/>
      <c r="AI8" s="368"/>
      <c r="AJ8" s="368"/>
      <c r="AK8" s="368"/>
      <c r="AL8" s="31"/>
      <c r="AM8" s="368"/>
      <c r="AN8" s="368"/>
      <c r="AO8" s="368"/>
      <c r="AP8" s="368"/>
      <c r="AQ8" s="31"/>
      <c r="AR8" s="209">
        <v>115.63</v>
      </c>
      <c r="AS8" s="202" t="s">
        <v>3062</v>
      </c>
      <c r="AT8" s="202" t="s">
        <v>3063</v>
      </c>
      <c r="AU8" s="36"/>
      <c r="AV8" s="36"/>
      <c r="AW8" s="36"/>
      <c r="AX8" s="36"/>
      <c r="AY8" s="36"/>
      <c r="AZ8" s="365"/>
      <c r="BA8" s="373" t="s">
        <v>3056</v>
      </c>
      <c r="BB8" s="374"/>
      <c r="BC8" s="374"/>
      <c r="BD8" s="374"/>
      <c r="BE8" s="375"/>
      <c r="BF8" s="155">
        <v>13.59</v>
      </c>
      <c r="BG8" s="155">
        <v>9.09</v>
      </c>
      <c r="BH8" s="155">
        <v>11.18</v>
      </c>
      <c r="BI8" s="155">
        <f t="shared" ref="BI8" si="2">(BF8*BG8*BH8)/1728</f>
        <v>0.79924771874999989</v>
      </c>
      <c r="BJ8" s="359">
        <v>0.84</v>
      </c>
      <c r="BK8" s="360">
        <v>10.5</v>
      </c>
      <c r="BL8" s="360">
        <f t="shared" ref="BL8" si="3">(BK8*BN8)+BJ8</f>
        <v>11.34</v>
      </c>
      <c r="BM8" s="84" t="s">
        <v>3057</v>
      </c>
      <c r="BN8" s="84">
        <v>1</v>
      </c>
      <c r="BO8" s="84">
        <v>13</v>
      </c>
      <c r="BP8" s="84">
        <v>4</v>
      </c>
      <c r="BQ8" s="84">
        <f t="shared" ref="BQ8" si="4">BN8*BO8*BP8</f>
        <v>52</v>
      </c>
      <c r="BR8" s="186">
        <f t="shared" ref="BR8" si="5">(BO8*BP8*BL8)+50</f>
        <v>639.67999999999995</v>
      </c>
      <c r="BS8" s="84" t="s">
        <v>886</v>
      </c>
      <c r="BT8" s="90" t="s">
        <v>780</v>
      </c>
      <c r="BU8" s="81"/>
      <c r="BV8" s="81"/>
      <c r="BW8" s="248"/>
      <c r="BX8" s="372" t="s">
        <v>3064</v>
      </c>
    </row>
    <row r="9" spans="1:76" s="14" customFormat="1" ht="15" customHeight="1" x14ac:dyDescent="0.25">
      <c r="B9" s="369"/>
      <c r="C9" s="12"/>
      <c r="D9" s="42"/>
      <c r="E9" s="12"/>
      <c r="F9" s="12"/>
      <c r="G9" s="12"/>
      <c r="H9" s="10"/>
      <c r="I9" s="4"/>
      <c r="J9" s="4"/>
      <c r="K9" s="4"/>
      <c r="U9" s="4"/>
      <c r="AA9" s="4"/>
      <c r="AB9" s="4"/>
      <c r="AR9" s="13"/>
      <c r="AS9" s="4"/>
      <c r="BA9" s="9"/>
      <c r="BB9" s="9"/>
      <c r="BC9" s="9"/>
      <c r="BD9" s="4"/>
      <c r="BE9" s="9"/>
      <c r="BF9" s="9"/>
      <c r="BG9" s="9"/>
      <c r="BH9" s="9"/>
      <c r="BI9" s="4"/>
      <c r="BJ9" s="9"/>
      <c r="BK9" s="9"/>
      <c r="BL9" s="9"/>
      <c r="BM9" s="4"/>
      <c r="BN9" s="4"/>
      <c r="BS9" s="4"/>
      <c r="BT9" s="10"/>
    </row>
    <row r="10" spans="1:76" ht="7.5" customHeight="1" x14ac:dyDescent="0.25">
      <c r="A10" s="40"/>
      <c r="B10" s="40"/>
      <c r="C10" s="40"/>
      <c r="D10" s="18"/>
      <c r="E10" s="18"/>
      <c r="F10" s="18"/>
      <c r="G10" s="18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9"/>
      <c r="V10" s="20"/>
      <c r="W10" s="20"/>
      <c r="X10" s="20"/>
      <c r="Y10" s="20"/>
      <c r="Z10" s="20"/>
      <c r="AA10" s="19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1"/>
      <c r="AS10" s="19"/>
      <c r="AT10" s="20"/>
      <c r="AU10" s="20"/>
      <c r="AV10" s="20"/>
      <c r="AW10" s="20"/>
      <c r="AX10" s="20"/>
      <c r="AY10" s="20"/>
      <c r="AZ10" s="20"/>
      <c r="BA10" s="22"/>
      <c r="BB10" s="22"/>
      <c r="BC10" s="22"/>
      <c r="BD10" s="19"/>
      <c r="BE10" s="22"/>
      <c r="BF10" s="22"/>
      <c r="BG10" s="22"/>
      <c r="BH10" s="22"/>
      <c r="BI10" s="19"/>
      <c r="BJ10" s="22"/>
      <c r="BK10" s="22"/>
      <c r="BL10" s="22"/>
      <c r="BM10" s="19"/>
      <c r="BN10" s="19"/>
      <c r="BO10" s="20"/>
      <c r="BP10" s="20"/>
      <c r="BQ10" s="20"/>
      <c r="BR10" s="20"/>
      <c r="BS10" s="19"/>
      <c r="BT10" s="23"/>
      <c r="BU10" s="20"/>
      <c r="BV10" s="14"/>
      <c r="BW10" s="14"/>
    </row>
    <row r="11" spans="1:76" ht="7.5" customHeight="1" x14ac:dyDescent="0.25">
      <c r="C11" s="11"/>
      <c r="D11" s="12"/>
      <c r="E11" s="12"/>
      <c r="F11" s="12"/>
      <c r="G11" s="12"/>
      <c r="H11" s="12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V11" s="14"/>
      <c r="W11" s="14"/>
      <c r="X11" s="14"/>
      <c r="Y11" s="14"/>
      <c r="Z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3"/>
      <c r="AT11" s="14"/>
      <c r="AU11" s="14"/>
      <c r="AV11" s="14"/>
      <c r="AW11" s="14"/>
      <c r="AX11" s="14"/>
      <c r="AY11" s="14"/>
      <c r="AZ11" s="14"/>
      <c r="BA11" s="9"/>
      <c r="BB11" s="9"/>
      <c r="BC11" s="9"/>
      <c r="BE11" s="9"/>
      <c r="BF11" s="9"/>
      <c r="BG11" s="9"/>
      <c r="BH11" s="9"/>
      <c r="BJ11" s="9"/>
      <c r="BK11" s="9"/>
      <c r="BL11" s="9"/>
      <c r="BO11" s="14"/>
      <c r="BP11" s="14"/>
      <c r="BQ11" s="14"/>
      <c r="BR11" s="14"/>
      <c r="BT11" s="10"/>
      <c r="BU11" s="14"/>
      <c r="BV11" s="14"/>
      <c r="BW11" s="14"/>
    </row>
    <row r="12" spans="1:76" ht="7.5" customHeight="1" x14ac:dyDescent="0.25">
      <c r="C12" s="11"/>
      <c r="D12" s="12"/>
      <c r="E12" s="12"/>
      <c r="F12" s="12"/>
      <c r="G12" s="12"/>
      <c r="H12" s="1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V12" s="14"/>
      <c r="W12" s="14"/>
      <c r="X12" s="14"/>
      <c r="Y12" s="14"/>
      <c r="Z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3"/>
      <c r="AT12" s="14"/>
      <c r="AU12" s="14"/>
      <c r="AV12" s="14"/>
      <c r="AW12" s="14"/>
      <c r="AX12" s="14"/>
      <c r="AY12" s="14"/>
      <c r="AZ12" s="14"/>
      <c r="BA12" s="9"/>
      <c r="BB12" s="9"/>
      <c r="BC12" s="9"/>
      <c r="BE12" s="9"/>
      <c r="BF12" s="9"/>
      <c r="BG12" s="9"/>
      <c r="BH12" s="9"/>
      <c r="BJ12" s="9"/>
      <c r="BK12" s="9"/>
      <c r="BL12" s="9"/>
      <c r="BO12" s="14"/>
      <c r="BP12" s="14"/>
      <c r="BQ12" s="14"/>
      <c r="BR12" s="14"/>
      <c r="BT12" s="10"/>
      <c r="BU12" s="14"/>
      <c r="BV12" s="14"/>
      <c r="BW12" s="14"/>
    </row>
    <row r="13" spans="1:76" ht="23.25" x14ac:dyDescent="0.25">
      <c r="C13" s="11"/>
      <c r="D13" s="12"/>
      <c r="E13" s="12"/>
      <c r="F13" s="43" t="s">
        <v>2969</v>
      </c>
      <c r="H13" s="12"/>
      <c r="V13" s="14"/>
      <c r="W13" s="14"/>
      <c r="X13" s="14"/>
      <c r="Z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3"/>
      <c r="AT13" s="14"/>
      <c r="AU13" s="14"/>
      <c r="AV13" s="14"/>
      <c r="AW13" s="14"/>
      <c r="AX13" s="14"/>
      <c r="AY13" s="14"/>
      <c r="AZ13" s="14"/>
      <c r="BA13" s="9"/>
      <c r="BB13" s="9"/>
      <c r="BC13" s="9"/>
      <c r="BE13" s="9"/>
      <c r="BF13" s="9"/>
      <c r="BG13" s="9"/>
      <c r="BH13" s="9"/>
      <c r="BJ13" s="9"/>
      <c r="BK13" s="9"/>
      <c r="BL13" s="9"/>
      <c r="BO13" s="14"/>
      <c r="BP13" s="14"/>
      <c r="BQ13" s="14"/>
      <c r="BR13" s="14"/>
      <c r="BT13" s="10"/>
      <c r="BU13" s="14"/>
      <c r="BV13" s="14"/>
      <c r="BW13" s="14"/>
    </row>
    <row r="14" spans="1:76" s="14" customFormat="1" x14ac:dyDescent="0.25">
      <c r="C14" s="11"/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13"/>
      <c r="AS14" s="4"/>
      <c r="AT14" s="4"/>
      <c r="AU14" s="4"/>
      <c r="AV14" s="4"/>
      <c r="AW14" s="4"/>
      <c r="AX14" s="4"/>
      <c r="AY14" s="4"/>
      <c r="AZ14" s="4"/>
      <c r="BA14" s="9"/>
      <c r="BB14" s="9"/>
      <c r="BC14" s="9"/>
      <c r="BD14" s="4"/>
      <c r="BE14" s="9"/>
      <c r="BF14" s="9"/>
      <c r="BG14" s="9"/>
      <c r="BH14" s="9"/>
      <c r="BI14" s="4"/>
      <c r="BJ14" s="9"/>
      <c r="BK14" s="9"/>
      <c r="BL14" s="9"/>
      <c r="BM14" s="4"/>
      <c r="BN14" s="4"/>
      <c r="BO14" s="4"/>
      <c r="BP14" s="4"/>
      <c r="BS14" s="4"/>
      <c r="BT14" s="10"/>
      <c r="BU14" s="4"/>
      <c r="BV14" s="4"/>
      <c r="BW14" s="4"/>
    </row>
    <row r="15" spans="1:76" x14ac:dyDescent="0.25">
      <c r="A15" s="64" t="s">
        <v>74</v>
      </c>
      <c r="B15" s="65" t="s">
        <v>75</v>
      </c>
      <c r="C15" s="66" t="s">
        <v>0</v>
      </c>
      <c r="D15" s="67" t="s">
        <v>66</v>
      </c>
      <c r="E15" s="66" t="s">
        <v>2</v>
      </c>
      <c r="F15" s="5" t="s">
        <v>61</v>
      </c>
      <c r="G15" s="7" t="s">
        <v>69</v>
      </c>
      <c r="H15" s="7" t="s">
        <v>700</v>
      </c>
      <c r="AR15" s="13"/>
      <c r="BA15" s="9"/>
      <c r="BB15" s="9"/>
      <c r="BC15" s="9"/>
      <c r="BE15" s="9"/>
      <c r="BF15" s="9"/>
      <c r="BG15" s="9"/>
      <c r="BH15" s="9"/>
      <c r="BJ15" s="9"/>
      <c r="BK15" s="9"/>
      <c r="BL15" s="9"/>
      <c r="BQ15" s="14"/>
      <c r="BR15" s="14"/>
      <c r="BT15" s="10"/>
    </row>
    <row r="16" spans="1:76" x14ac:dyDescent="0.25">
      <c r="A16" s="106"/>
      <c r="B16" s="83"/>
      <c r="C16" s="85"/>
      <c r="D16" s="15"/>
      <c r="E16" s="83"/>
      <c r="F16" s="37"/>
      <c r="G16" s="328"/>
      <c r="H16" s="110"/>
      <c r="AR16" s="13"/>
      <c r="BA16" s="9"/>
      <c r="BB16" s="9"/>
      <c r="BC16" s="9"/>
      <c r="BE16" s="9"/>
      <c r="BF16" s="9"/>
      <c r="BG16" s="9"/>
      <c r="BH16" s="9"/>
      <c r="BJ16" s="9"/>
      <c r="BK16" s="9"/>
      <c r="BL16" s="9"/>
      <c r="BQ16" s="14"/>
      <c r="BR16" s="14"/>
      <c r="BT16" s="10"/>
    </row>
    <row r="17" spans="1:76" x14ac:dyDescent="0.25">
      <c r="A17" s="106"/>
      <c r="B17" s="83"/>
      <c r="C17" s="29"/>
      <c r="D17" s="15"/>
      <c r="E17" s="28"/>
      <c r="F17" s="37"/>
      <c r="G17" s="87"/>
      <c r="H17" s="32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V17" s="14"/>
      <c r="W17" s="14"/>
      <c r="X17" s="14"/>
      <c r="Y17" s="14"/>
      <c r="Z17" s="14"/>
      <c r="AE17" s="14"/>
      <c r="AF17" s="14"/>
      <c r="AG17" s="14"/>
      <c r="AH17" s="14"/>
      <c r="AI17" s="14"/>
      <c r="AJ17" s="14"/>
      <c r="AK17" s="14"/>
      <c r="AN17" s="14"/>
      <c r="AO17" s="14"/>
      <c r="AP17" s="14"/>
      <c r="AQ17" s="14"/>
      <c r="AR17" s="13"/>
      <c r="AT17" s="14"/>
      <c r="AU17" s="14"/>
      <c r="AV17" s="14"/>
      <c r="AW17" s="14"/>
      <c r="AX17" s="14"/>
      <c r="AY17" s="14"/>
      <c r="AZ17" s="14"/>
      <c r="BA17" s="9"/>
      <c r="BB17" s="9"/>
      <c r="BC17" s="9"/>
      <c r="BE17" s="9"/>
      <c r="BF17" s="9"/>
      <c r="BG17" s="9"/>
      <c r="BH17" s="9"/>
      <c r="BJ17" s="9"/>
      <c r="BK17" s="9"/>
      <c r="BL17" s="9"/>
      <c r="BO17" s="14"/>
      <c r="BP17" s="14"/>
      <c r="BQ17" s="14"/>
      <c r="BR17" s="14"/>
      <c r="BT17" s="10"/>
      <c r="BU17" s="14"/>
      <c r="BV17" s="14"/>
      <c r="BW17" s="14"/>
    </row>
    <row r="18" spans="1:76" x14ac:dyDescent="0.25">
      <c r="C18" s="11"/>
      <c r="D18" s="12"/>
      <c r="E18" s="12"/>
      <c r="F18" s="12"/>
      <c r="G18" s="12"/>
      <c r="H18" s="12"/>
      <c r="AS18" s="14"/>
      <c r="BR18" s="14"/>
      <c r="BT18" s="10"/>
    </row>
    <row r="19" spans="1:76" ht="7.5" customHeight="1" x14ac:dyDescent="0.25">
      <c r="A19" s="40"/>
      <c r="B19" s="40"/>
      <c r="C19" s="40"/>
      <c r="D19" s="18"/>
      <c r="E19" s="18"/>
      <c r="F19" s="18"/>
      <c r="G19" s="18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9"/>
      <c r="V19" s="20"/>
      <c r="W19" s="20"/>
      <c r="X19" s="20"/>
      <c r="Y19" s="20"/>
      <c r="Z19" s="20"/>
      <c r="AA19" s="19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1"/>
      <c r="AS19" s="19"/>
      <c r="AT19" s="20"/>
      <c r="AU19" s="20"/>
      <c r="AV19" s="20"/>
      <c r="AW19" s="20"/>
      <c r="AX19" s="20"/>
      <c r="AY19" s="20"/>
      <c r="AZ19" s="20"/>
      <c r="BA19" s="22"/>
      <c r="BB19" s="22"/>
      <c r="BC19" s="22"/>
      <c r="BD19" s="19"/>
      <c r="BE19" s="22"/>
      <c r="BF19" s="22"/>
      <c r="BG19" s="22"/>
      <c r="BH19" s="22"/>
      <c r="BI19" s="19"/>
      <c r="BJ19" s="22"/>
      <c r="BK19" s="22"/>
      <c r="BL19" s="22"/>
      <c r="BM19" s="19"/>
      <c r="BN19" s="19"/>
      <c r="BO19" s="20"/>
      <c r="BP19" s="20"/>
      <c r="BQ19" s="20"/>
      <c r="BR19" s="20"/>
      <c r="BS19" s="19"/>
      <c r="BT19" s="23"/>
      <c r="BU19" s="20"/>
      <c r="BV19" s="14"/>
      <c r="BW19" s="14"/>
    </row>
    <row r="20" spans="1:76" ht="7.5" customHeight="1" x14ac:dyDescent="0.25">
      <c r="C20" s="11"/>
      <c r="D20" s="12"/>
      <c r="E20" s="12"/>
      <c r="F20" s="12"/>
      <c r="G20" s="12"/>
      <c r="H20" s="12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V20" s="14"/>
      <c r="W20" s="14"/>
      <c r="X20" s="14"/>
      <c r="Y20" s="14"/>
      <c r="Z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3"/>
      <c r="AT20" s="14"/>
      <c r="AU20" s="14"/>
      <c r="AV20" s="14"/>
      <c r="AW20" s="14"/>
      <c r="AX20" s="14"/>
      <c r="AY20" s="14"/>
      <c r="AZ20" s="14"/>
      <c r="BA20" s="9"/>
      <c r="BB20" s="9"/>
      <c r="BC20" s="9"/>
      <c r="BE20" s="9"/>
      <c r="BF20" s="9"/>
      <c r="BG20" s="9"/>
      <c r="BH20" s="9"/>
      <c r="BJ20" s="9"/>
      <c r="BK20" s="9"/>
      <c r="BL20" s="9"/>
      <c r="BO20" s="14"/>
      <c r="BP20" s="14"/>
      <c r="BQ20" s="14"/>
      <c r="BR20" s="14"/>
      <c r="BT20" s="10"/>
      <c r="BU20" s="14"/>
      <c r="BV20" s="14"/>
      <c r="BW20" s="14"/>
    </row>
    <row r="21" spans="1:76" ht="23.25" x14ac:dyDescent="0.25">
      <c r="C21" s="11"/>
      <c r="D21" s="12"/>
      <c r="E21" s="12"/>
      <c r="F21" s="43" t="s">
        <v>63</v>
      </c>
      <c r="H21" s="12"/>
      <c r="AS21" s="14"/>
      <c r="BR21" s="14"/>
      <c r="BT21" s="10"/>
    </row>
    <row r="22" spans="1:76" ht="16.5" customHeight="1" x14ac:dyDescent="0.25">
      <c r="C22" s="11"/>
      <c r="D22" s="12"/>
      <c r="E22" s="12"/>
      <c r="F22" s="12"/>
      <c r="G22" s="17"/>
      <c r="H22" s="12"/>
      <c r="AS22" s="14"/>
      <c r="BR22" s="14"/>
      <c r="BT22" s="10"/>
    </row>
    <row r="23" spans="1:76" s="11" customFormat="1" x14ac:dyDescent="0.25">
      <c r="A23" s="64" t="s">
        <v>74</v>
      </c>
      <c r="B23" s="65" t="s">
        <v>75</v>
      </c>
      <c r="C23" s="66" t="s">
        <v>0</v>
      </c>
      <c r="D23" s="67" t="s">
        <v>66</v>
      </c>
      <c r="E23" s="66" t="s">
        <v>2</v>
      </c>
      <c r="F23" s="5" t="s">
        <v>62</v>
      </c>
      <c r="G23" s="5" t="s">
        <v>2970</v>
      </c>
      <c r="H23" s="5" t="s">
        <v>712</v>
      </c>
      <c r="I23" s="48"/>
      <c r="J23" s="6"/>
      <c r="K23" s="48"/>
      <c r="L23" s="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13"/>
      <c r="AS23" s="1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14"/>
      <c r="BS23" s="4"/>
      <c r="BT23" s="4"/>
      <c r="BU23" s="4"/>
      <c r="BV23" s="4"/>
      <c r="BW23" s="4"/>
    </row>
    <row r="24" spans="1:76" s="11" customFormat="1" x14ac:dyDescent="0.25">
      <c r="A24" s="356"/>
      <c r="B24" s="83"/>
      <c r="C24" s="200"/>
      <c r="D24" s="16"/>
      <c r="E24" s="41"/>
      <c r="F24" s="353"/>
      <c r="G24" s="85"/>
      <c r="H24" s="32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</row>
    <row r="25" spans="1:76" s="11" customFormat="1" x14ac:dyDescent="0.25">
      <c r="A25" s="356"/>
      <c r="B25" s="83"/>
      <c r="C25" s="200"/>
      <c r="D25" s="16"/>
      <c r="E25" s="41"/>
      <c r="F25" s="353"/>
      <c r="G25" s="85"/>
      <c r="H25" s="32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1:76" s="11" customFormat="1" x14ac:dyDescent="0.25">
      <c r="A26" s="356"/>
      <c r="B26" s="83"/>
      <c r="C26" s="200"/>
      <c r="D26" s="16"/>
      <c r="E26" s="41"/>
      <c r="F26" s="353"/>
      <c r="G26" s="85"/>
      <c r="H26" s="32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1:76" s="11" customFormat="1" x14ac:dyDescent="0.25">
      <c r="A27" s="356"/>
      <c r="B27" s="83"/>
      <c r="C27" s="200"/>
      <c r="D27" s="16"/>
      <c r="E27" s="41"/>
      <c r="F27" s="353"/>
      <c r="G27" s="85"/>
      <c r="H27" s="32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76" s="11" customFormat="1" x14ac:dyDescent="0.25">
      <c r="A28" s="356"/>
      <c r="B28" s="83"/>
      <c r="C28" s="200"/>
      <c r="D28" s="16"/>
      <c r="E28" s="41"/>
      <c r="F28" s="353"/>
      <c r="G28" s="85"/>
      <c r="H28" s="32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76" s="11" customFormat="1" x14ac:dyDescent="0.25">
      <c r="A29" s="356"/>
      <c r="B29" s="83"/>
      <c r="C29" s="200"/>
      <c r="D29" s="16"/>
      <c r="E29" s="41"/>
      <c r="F29" s="353"/>
      <c r="G29" s="85"/>
      <c r="H29" s="32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76" s="11" customFormat="1" x14ac:dyDescent="0.25">
      <c r="A30" s="356"/>
      <c r="B30" s="83"/>
      <c r="C30" s="200"/>
      <c r="D30" s="16"/>
      <c r="E30" s="41"/>
      <c r="F30" s="353"/>
      <c r="G30" s="85"/>
      <c r="H30" s="32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76" s="11" customFormat="1" x14ac:dyDescent="0.25">
      <c r="A31" s="356"/>
      <c r="B31" s="83"/>
      <c r="C31" s="200"/>
      <c r="D31" s="16"/>
      <c r="E31" s="41"/>
      <c r="F31" s="353"/>
      <c r="G31" s="85"/>
      <c r="H31" s="32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76" s="11" customFormat="1" x14ac:dyDescent="0.25">
      <c r="A32" s="356"/>
      <c r="B32" s="83"/>
      <c r="C32" s="352"/>
      <c r="D32" s="16"/>
      <c r="E32" s="41"/>
      <c r="F32" s="353"/>
      <c r="G32" s="85"/>
      <c r="H32" s="32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s="11" customFormat="1" x14ac:dyDescent="0.25">
      <c r="A33" s="356"/>
      <c r="B33" s="83"/>
      <c r="C33" s="352"/>
      <c r="D33" s="16"/>
      <c r="E33" s="41"/>
      <c r="F33" s="353"/>
      <c r="G33" s="85"/>
      <c r="H33" s="36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 s="11" customFormat="1" x14ac:dyDescent="0.25">
      <c r="A34" s="356"/>
      <c r="B34" s="83"/>
      <c r="C34" s="352"/>
      <c r="D34" s="16"/>
      <c r="E34" s="41"/>
      <c r="F34" s="353"/>
      <c r="G34" s="85"/>
      <c r="H34" s="36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76" s="11" customFormat="1" x14ac:dyDescent="0.25">
      <c r="A35" s="356"/>
      <c r="B35" s="83"/>
      <c r="C35" s="352"/>
      <c r="D35" s="16"/>
      <c r="E35" s="41"/>
      <c r="F35" s="353"/>
      <c r="G35" s="85"/>
      <c r="H35" s="32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 s="11" customFormat="1" x14ac:dyDescent="0.25">
      <c r="A36" s="356"/>
      <c r="B36" s="83"/>
      <c r="C36" s="352"/>
      <c r="D36" s="16"/>
      <c r="E36" s="41"/>
      <c r="F36" s="353"/>
      <c r="G36" s="85"/>
      <c r="H36" s="32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</row>
    <row r="37" spans="1:76" s="11" customFormat="1" x14ac:dyDescent="0.25">
      <c r="A37" s="356"/>
      <c r="B37" s="83"/>
      <c r="C37" s="352"/>
      <c r="D37" s="16"/>
      <c r="E37" s="41"/>
      <c r="F37" s="353"/>
      <c r="G37" s="85"/>
      <c r="H37" s="32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1:76" x14ac:dyDescent="0.25">
      <c r="A38" s="356"/>
      <c r="B38" s="83"/>
      <c r="C38" s="352"/>
      <c r="D38" s="16"/>
      <c r="E38" s="41"/>
      <c r="F38" s="353"/>
      <c r="G38" s="85"/>
      <c r="H38" s="329"/>
    </row>
    <row r="39" spans="1:76" s="11" customFormat="1" x14ac:dyDescent="0.25">
      <c r="A39" s="356"/>
      <c r="B39" s="83"/>
      <c r="C39" s="352"/>
      <c r="D39" s="16"/>
      <c r="E39" s="41"/>
      <c r="F39" s="353"/>
      <c r="G39" s="85"/>
      <c r="H39" s="32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1:76" s="11" customFormat="1" x14ac:dyDescent="0.25">
      <c r="A40" s="106"/>
      <c r="B40" s="83"/>
      <c r="C40" s="352"/>
      <c r="D40" s="16"/>
      <c r="E40" s="41"/>
      <c r="F40" s="353"/>
      <c r="G40" s="85"/>
      <c r="H40" s="32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1:76" s="11" customFormat="1" x14ac:dyDescent="0.25">
      <c r="A41" s="106"/>
      <c r="B41" s="83"/>
      <c r="C41" s="352"/>
      <c r="D41" s="16"/>
      <c r="E41" s="41"/>
      <c r="F41" s="353"/>
      <c r="G41" s="85"/>
      <c r="H41" s="32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</row>
    <row r="42" spans="1:76" x14ac:dyDescent="0.25">
      <c r="A42" s="106"/>
      <c r="B42" s="83"/>
      <c r="C42" s="352"/>
      <c r="D42" s="16"/>
      <c r="E42" s="41"/>
      <c r="F42" s="353"/>
      <c r="G42" s="85"/>
      <c r="H42" s="329"/>
    </row>
  </sheetData>
  <mergeCells count="11">
    <mergeCell ref="A4:F4"/>
    <mergeCell ref="G4:T4"/>
    <mergeCell ref="U4:AQ4"/>
    <mergeCell ref="AS4:AT4"/>
    <mergeCell ref="AU4:AZ4"/>
    <mergeCell ref="BA8:BE8"/>
    <mergeCell ref="BA6:BE6"/>
    <mergeCell ref="BA7:BE7"/>
    <mergeCell ref="BK4:BT4"/>
    <mergeCell ref="BA4:BE4"/>
    <mergeCell ref="BF4:BJ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CE321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8" sqref="A8"/>
    </sheetView>
  </sheetViews>
  <sheetFormatPr defaultRowHeight="15" x14ac:dyDescent="0.25"/>
  <cols>
    <col min="1" max="1" width="17.42578125" style="4" bestFit="1" customWidth="1"/>
    <col min="2" max="2" width="17.42578125" style="4" customWidth="1"/>
    <col min="3" max="3" width="12.28515625" style="14" bestFit="1" customWidth="1"/>
    <col min="4" max="4" width="8.7109375" style="14" bestFit="1" customWidth="1"/>
    <col min="5" max="5" width="29.7109375" style="4" customWidth="1"/>
    <col min="6" max="6" width="53.85546875" style="11" customWidth="1"/>
    <col min="7" max="7" width="23.85546875" style="4" bestFit="1" customWidth="1"/>
    <col min="8" max="8" width="18.42578125" style="4" bestFit="1" customWidth="1"/>
    <col min="9" max="9" width="14.7109375" style="4" customWidth="1"/>
    <col min="10" max="10" width="12.5703125" style="4" customWidth="1"/>
    <col min="11" max="11" width="13.42578125" style="4" customWidth="1"/>
    <col min="12" max="12" width="13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hidden="1" customWidth="1"/>
    <col min="18" max="18" width="9.7109375" style="4" hidden="1" customWidth="1"/>
    <col min="19" max="19" width="13.140625" style="4" hidden="1" customWidth="1"/>
    <col min="20" max="20" width="12.140625" style="4" hidden="1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5.28515625" style="4" bestFit="1" customWidth="1"/>
    <col min="33" max="33" width="10.28515625" style="4" customWidth="1"/>
    <col min="34" max="34" width="15.5703125" style="4" customWidth="1"/>
    <col min="35" max="35" width="9.5703125" style="4" bestFit="1" customWidth="1"/>
    <col min="36" max="36" width="10.5703125" style="4" customWidth="1"/>
    <col min="37" max="37" width="7" style="4" bestFit="1" customWidth="1"/>
    <col min="38" max="38" width="9.28515625" style="4" customWidth="1"/>
    <col min="39" max="39" width="9.5703125" style="4" bestFit="1" customWidth="1"/>
    <col min="40" max="40" width="14.140625" style="4" customWidth="1"/>
    <col min="41" max="41" width="9.42578125" style="4" bestFit="1" customWidth="1"/>
    <col min="42" max="42" width="10.28515625" style="4" bestFit="1" customWidth="1"/>
    <col min="43" max="43" width="11.42578125" style="4" bestFit="1" customWidth="1"/>
    <col min="44" max="44" width="17.7109375" style="4" bestFit="1" customWidth="1"/>
    <col min="45" max="45" width="15.140625" style="4" bestFit="1" customWidth="1"/>
    <col min="46" max="46" width="16.140625" style="4" bestFit="1" customWidth="1"/>
    <col min="47" max="47" width="7" style="4" bestFit="1" customWidth="1"/>
    <col min="48" max="48" width="6.5703125" style="4" bestFit="1" customWidth="1"/>
    <col min="49" max="49" width="6.85546875" style="4" bestFit="1" customWidth="1"/>
    <col min="50" max="50" width="5.5703125" style="4" bestFit="1" customWidth="1"/>
    <col min="51" max="51" width="6.85546875" style="4" bestFit="1" customWidth="1"/>
    <col min="52" max="52" width="5.5703125" style="4" bestFit="1" customWidth="1"/>
    <col min="53" max="53" width="36.85546875" style="4" bestFit="1" customWidth="1"/>
    <col min="54" max="55" width="7" style="4" bestFit="1" customWidth="1"/>
    <col min="56" max="56" width="12" style="4" bestFit="1" customWidth="1"/>
    <col min="57" max="57" width="7.5703125" style="4" bestFit="1" customWidth="1"/>
    <col min="58" max="60" width="7" style="4" bestFit="1" customWidth="1"/>
    <col min="61" max="61" width="12" style="4" bestFit="1" customWidth="1"/>
    <col min="62" max="62" width="7.5703125" style="4" bestFit="1" customWidth="1"/>
    <col min="63" max="64" width="7.5703125" style="4" customWidth="1"/>
    <col min="65" max="65" width="17.85546875" style="4" customWidth="1"/>
    <col min="66" max="66" width="10.42578125" style="4" bestFit="1" customWidth="1"/>
    <col min="67" max="67" width="12" style="4" bestFit="1" customWidth="1"/>
    <col min="68" max="69" width="14.42578125" style="4" bestFit="1" customWidth="1"/>
    <col min="70" max="70" width="13.28515625" style="4" bestFit="1" customWidth="1"/>
    <col min="71" max="71" width="16.28515625" style="4" bestFit="1" customWidth="1"/>
    <col min="72" max="72" width="22.28515625" style="4" customWidth="1"/>
    <col min="73" max="73" width="12.140625" style="4" hidden="1" customWidth="1"/>
    <col min="74" max="74" width="15.42578125" style="4" hidden="1" customWidth="1"/>
    <col min="75" max="75" width="12.42578125" style="4" hidden="1" customWidth="1"/>
    <col min="76" max="76" width="0" style="4" hidden="1" customWidth="1"/>
    <col min="77" max="16384" width="9.140625" style="4"/>
  </cols>
  <sheetData>
    <row r="1" spans="1:77" ht="23.25" x14ac:dyDescent="0.25">
      <c r="C1" s="125"/>
      <c r="F1" s="2" t="s">
        <v>781</v>
      </c>
    </row>
    <row r="2" spans="1:77" ht="23.25" x14ac:dyDescent="0.25">
      <c r="F2" s="126" t="s">
        <v>3006</v>
      </c>
      <c r="H2" s="2"/>
      <c r="I2" s="3"/>
    </row>
    <row r="3" spans="1:77" ht="20.25" x14ac:dyDescent="0.25">
      <c r="F3" s="127"/>
    </row>
    <row r="4" spans="1:77" ht="20.25" x14ac:dyDescent="0.25">
      <c r="F4" s="30"/>
    </row>
    <row r="5" spans="1:77" ht="15.75" customHeight="1" x14ac:dyDescent="0.25">
      <c r="A5" s="385" t="s">
        <v>17</v>
      </c>
      <c r="B5" s="385"/>
      <c r="C5" s="385"/>
      <c r="D5" s="385"/>
      <c r="E5" s="385"/>
      <c r="F5" s="385"/>
      <c r="G5" s="406" t="s">
        <v>15</v>
      </c>
      <c r="H5" s="406"/>
      <c r="I5" s="406"/>
      <c r="J5" s="406"/>
      <c r="K5" s="406"/>
      <c r="L5" s="406"/>
      <c r="M5" s="406"/>
      <c r="N5" s="406"/>
      <c r="O5" s="406"/>
      <c r="P5" s="406"/>
      <c r="Q5" s="128"/>
      <c r="R5" s="129"/>
      <c r="S5" s="129"/>
      <c r="T5" s="129"/>
      <c r="U5" s="407" t="s">
        <v>16</v>
      </c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130" t="s">
        <v>67</v>
      </c>
      <c r="AS5" s="408" t="s">
        <v>19</v>
      </c>
      <c r="AT5" s="409"/>
      <c r="AU5" s="410" t="s">
        <v>70</v>
      </c>
      <c r="AV5" s="411"/>
      <c r="AW5" s="411"/>
      <c r="AX5" s="411"/>
      <c r="AY5" s="411"/>
      <c r="AZ5" s="412"/>
      <c r="BA5" s="413" t="s">
        <v>21</v>
      </c>
      <c r="BB5" s="413"/>
      <c r="BC5" s="413"/>
      <c r="BD5" s="413"/>
      <c r="BE5" s="413"/>
      <c r="BF5" s="414" t="s">
        <v>27</v>
      </c>
      <c r="BG5" s="414"/>
      <c r="BH5" s="414"/>
      <c r="BI5" s="414"/>
      <c r="BJ5" s="414"/>
      <c r="BK5" s="376" t="s">
        <v>33</v>
      </c>
      <c r="BL5" s="377"/>
      <c r="BM5" s="377"/>
      <c r="BN5" s="377"/>
      <c r="BO5" s="377"/>
      <c r="BP5" s="377"/>
      <c r="BQ5" s="377"/>
      <c r="BR5" s="377"/>
      <c r="BS5" s="377"/>
      <c r="BT5" s="378"/>
    </row>
    <row r="6" spans="1:77" s="125" customFormat="1" ht="30" x14ac:dyDescent="0.25">
      <c r="A6" s="64" t="s">
        <v>74</v>
      </c>
      <c r="B6" s="65" t="s">
        <v>75</v>
      </c>
      <c r="C6" s="66" t="s">
        <v>0</v>
      </c>
      <c r="D6" s="67" t="s">
        <v>66</v>
      </c>
      <c r="E6" s="66" t="s">
        <v>2</v>
      </c>
      <c r="F6" s="68" t="s">
        <v>1</v>
      </c>
      <c r="G6" s="131" t="s">
        <v>3</v>
      </c>
      <c r="H6" s="131" t="s">
        <v>7</v>
      </c>
      <c r="I6" s="131" t="s">
        <v>4</v>
      </c>
      <c r="J6" s="131" t="s">
        <v>6</v>
      </c>
      <c r="K6" s="131" t="s">
        <v>5</v>
      </c>
      <c r="L6" s="131" t="s">
        <v>54</v>
      </c>
      <c r="M6" s="131" t="s">
        <v>52</v>
      </c>
      <c r="N6" s="131" t="s">
        <v>55</v>
      </c>
      <c r="O6" s="131" t="s">
        <v>56</v>
      </c>
      <c r="P6" s="131" t="s">
        <v>57</v>
      </c>
      <c r="Q6" s="132" t="s">
        <v>58</v>
      </c>
      <c r="R6" s="132" t="s">
        <v>59</v>
      </c>
      <c r="S6" s="132" t="s">
        <v>64</v>
      </c>
      <c r="T6" s="132" t="s">
        <v>59</v>
      </c>
      <c r="U6" s="133" t="s">
        <v>8</v>
      </c>
      <c r="V6" s="133" t="s">
        <v>46</v>
      </c>
      <c r="W6" s="133" t="s">
        <v>9</v>
      </c>
      <c r="X6" s="133" t="s">
        <v>35</v>
      </c>
      <c r="Y6" s="133" t="s">
        <v>10</v>
      </c>
      <c r="Z6" s="133" t="s">
        <v>47</v>
      </c>
      <c r="AA6" s="133" t="s">
        <v>11</v>
      </c>
      <c r="AB6" s="133" t="s">
        <v>51</v>
      </c>
      <c r="AC6" s="133" t="s">
        <v>12</v>
      </c>
      <c r="AD6" s="133" t="s">
        <v>50</v>
      </c>
      <c r="AE6" s="133" t="s">
        <v>48</v>
      </c>
      <c r="AF6" s="62" t="s">
        <v>715</v>
      </c>
      <c r="AG6" s="133" t="s">
        <v>14</v>
      </c>
      <c r="AH6" s="133" t="s">
        <v>36</v>
      </c>
      <c r="AI6" s="133" t="s">
        <v>782</v>
      </c>
      <c r="AJ6" s="133" t="s">
        <v>49</v>
      </c>
      <c r="AK6" s="133" t="s">
        <v>45</v>
      </c>
      <c r="AL6" s="133" t="s">
        <v>37</v>
      </c>
      <c r="AM6" s="133" t="s">
        <v>68</v>
      </c>
      <c r="AN6" s="133" t="s">
        <v>38</v>
      </c>
      <c r="AO6" s="133" t="s">
        <v>699</v>
      </c>
      <c r="AP6" s="133" t="s">
        <v>39</v>
      </c>
      <c r="AQ6" s="133" t="s">
        <v>13</v>
      </c>
      <c r="AR6" s="134" t="s">
        <v>20</v>
      </c>
      <c r="AS6" s="135" t="s">
        <v>18</v>
      </c>
      <c r="AT6" s="135" t="s">
        <v>53</v>
      </c>
      <c r="AU6" s="136" t="s">
        <v>22</v>
      </c>
      <c r="AV6" s="136" t="s">
        <v>23</v>
      </c>
      <c r="AW6" s="136" t="s">
        <v>24</v>
      </c>
      <c r="AX6" s="136" t="s">
        <v>71</v>
      </c>
      <c r="AY6" s="136" t="s">
        <v>24</v>
      </c>
      <c r="AZ6" s="136" t="s">
        <v>72</v>
      </c>
      <c r="BA6" s="137" t="s">
        <v>22</v>
      </c>
      <c r="BB6" s="137" t="s">
        <v>23</v>
      </c>
      <c r="BC6" s="137" t="s">
        <v>24</v>
      </c>
      <c r="BD6" s="137" t="s">
        <v>25</v>
      </c>
      <c r="BE6" s="137" t="s">
        <v>26</v>
      </c>
      <c r="BF6" s="138" t="s">
        <v>22</v>
      </c>
      <c r="BG6" s="138" t="s">
        <v>23</v>
      </c>
      <c r="BH6" s="138" t="s">
        <v>24</v>
      </c>
      <c r="BI6" s="138" t="s">
        <v>25</v>
      </c>
      <c r="BJ6" s="138" t="s">
        <v>26</v>
      </c>
      <c r="BK6" s="346" t="s">
        <v>2887</v>
      </c>
      <c r="BL6" s="346" t="s">
        <v>2888</v>
      </c>
      <c r="BM6" s="139" t="s">
        <v>44</v>
      </c>
      <c r="BN6" s="139" t="s">
        <v>28</v>
      </c>
      <c r="BO6" s="139" t="s">
        <v>29</v>
      </c>
      <c r="BP6" s="139" t="s">
        <v>30</v>
      </c>
      <c r="BQ6" s="139" t="s">
        <v>31</v>
      </c>
      <c r="BR6" s="139" t="s">
        <v>32</v>
      </c>
      <c r="BS6" s="139" t="s">
        <v>34</v>
      </c>
      <c r="BT6" s="139" t="s">
        <v>43</v>
      </c>
      <c r="BU6" s="140" t="s">
        <v>40</v>
      </c>
      <c r="BV6" s="140" t="s">
        <v>41</v>
      </c>
      <c r="BW6" s="140" t="s">
        <v>42</v>
      </c>
    </row>
    <row r="7" spans="1:77" ht="5.25" customHeight="1" x14ac:dyDescent="0.25">
      <c r="A7" s="141"/>
      <c r="B7" s="142"/>
      <c r="C7" s="142"/>
      <c r="D7" s="143"/>
      <c r="E7" s="142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7"/>
      <c r="AS7" s="148"/>
      <c r="AT7" s="148"/>
      <c r="AU7" s="149"/>
      <c r="AV7" s="149"/>
      <c r="AW7" s="149"/>
      <c r="AX7" s="149"/>
      <c r="AY7" s="149"/>
      <c r="AZ7" s="149"/>
      <c r="BA7" s="150"/>
      <c r="BB7" s="150"/>
      <c r="BC7" s="150"/>
      <c r="BD7" s="150"/>
      <c r="BE7" s="150"/>
      <c r="BF7" s="151"/>
      <c r="BG7" s="151"/>
      <c r="BH7" s="151"/>
      <c r="BI7" s="151"/>
      <c r="BJ7" s="151"/>
      <c r="BK7" s="151"/>
      <c r="BL7" s="151"/>
      <c r="BM7" s="152"/>
      <c r="BN7" s="153"/>
      <c r="BO7" s="153"/>
      <c r="BP7" s="153"/>
      <c r="BQ7" s="153"/>
      <c r="BR7" s="153"/>
      <c r="BS7" s="153"/>
      <c r="BT7" s="154"/>
      <c r="BU7" s="8"/>
      <c r="BV7" s="8"/>
      <c r="BW7" s="8"/>
    </row>
    <row r="8" spans="1:77" s="1" customFormat="1" x14ac:dyDescent="0.25">
      <c r="A8" s="356">
        <v>42915</v>
      </c>
      <c r="B8" s="252" t="s">
        <v>14</v>
      </c>
      <c r="C8" s="252" t="s">
        <v>3043</v>
      </c>
      <c r="D8" s="252" t="s">
        <v>60</v>
      </c>
      <c r="E8" s="252" t="s">
        <v>3044</v>
      </c>
      <c r="F8" s="260" t="s">
        <v>3045</v>
      </c>
      <c r="G8" s="368" t="s">
        <v>1524</v>
      </c>
      <c r="H8" s="368" t="s">
        <v>1546</v>
      </c>
      <c r="I8" s="368"/>
      <c r="J8" s="368"/>
      <c r="K8" s="25"/>
      <c r="L8" s="26"/>
      <c r="M8" s="26"/>
      <c r="N8" s="26"/>
      <c r="O8" s="254"/>
      <c r="P8" s="254"/>
      <c r="Q8" s="254"/>
      <c r="R8" s="254"/>
      <c r="S8" s="254"/>
      <c r="T8" s="254"/>
      <c r="U8" s="25"/>
      <c r="V8" s="33"/>
      <c r="W8" s="25"/>
      <c r="X8" s="33"/>
      <c r="Y8" s="31"/>
      <c r="Z8" s="33"/>
      <c r="AA8" s="25"/>
      <c r="AB8" s="368"/>
      <c r="AC8" s="368"/>
      <c r="AD8" s="41"/>
      <c r="AE8" s="368"/>
      <c r="AF8" s="368"/>
      <c r="AG8" s="368"/>
      <c r="AH8" s="368"/>
      <c r="AI8" s="368"/>
      <c r="AJ8" s="368"/>
      <c r="AK8" s="368"/>
      <c r="AL8" s="31"/>
      <c r="AM8" s="368"/>
      <c r="AN8" s="368"/>
      <c r="AO8" s="368"/>
      <c r="AP8" s="368"/>
      <c r="AQ8" s="368"/>
      <c r="AR8" s="209">
        <v>74.099999999999994</v>
      </c>
      <c r="AS8" s="202" t="s">
        <v>3054</v>
      </c>
      <c r="AT8" s="202" t="s">
        <v>3055</v>
      </c>
      <c r="AU8" s="36"/>
      <c r="AV8" s="36"/>
      <c r="AW8" s="36"/>
      <c r="AX8" s="367">
        <v>4.6500000000000004</v>
      </c>
      <c r="AY8" s="367">
        <v>13.9</v>
      </c>
      <c r="AZ8" s="365"/>
      <c r="BA8" s="373" t="s">
        <v>3056</v>
      </c>
      <c r="BB8" s="374"/>
      <c r="BC8" s="374"/>
      <c r="BD8" s="374"/>
      <c r="BE8" s="375"/>
      <c r="BF8" s="360">
        <v>15.09</v>
      </c>
      <c r="BG8" s="155">
        <v>10.09</v>
      </c>
      <c r="BH8" s="155">
        <v>14.81</v>
      </c>
      <c r="BI8" s="155">
        <f t="shared" ref="BI8" si="0">(BF8*BG8*BH8)/1728</f>
        <v>1.3049435538194443</v>
      </c>
      <c r="BJ8" s="359">
        <v>1.17</v>
      </c>
      <c r="BK8" s="360">
        <v>3.93</v>
      </c>
      <c r="BL8" s="360">
        <f>(BK8*BN8)+BJ8</f>
        <v>24.75</v>
      </c>
      <c r="BM8" s="84" t="s">
        <v>3057</v>
      </c>
      <c r="BN8" s="84">
        <v>6</v>
      </c>
      <c r="BO8" s="84">
        <v>12</v>
      </c>
      <c r="BP8" s="84">
        <v>3</v>
      </c>
      <c r="BQ8" s="84">
        <f t="shared" ref="BQ8" si="1">BN8*BO8*BP8</f>
        <v>216</v>
      </c>
      <c r="BR8" s="186">
        <f>(BO8*BP8*BL8)+50</f>
        <v>941</v>
      </c>
      <c r="BS8" s="84" t="s">
        <v>886</v>
      </c>
      <c r="BT8" s="90" t="s">
        <v>780</v>
      </c>
      <c r="BU8" s="81"/>
      <c r="BV8" s="81"/>
      <c r="BW8" s="248"/>
      <c r="BX8" s="372" t="s">
        <v>3058</v>
      </c>
    </row>
    <row r="9" spans="1:77" s="1" customFormat="1" x14ac:dyDescent="0.25">
      <c r="A9" s="356">
        <v>42915</v>
      </c>
      <c r="B9" s="252" t="s">
        <v>14</v>
      </c>
      <c r="C9" s="252" t="s">
        <v>3046</v>
      </c>
      <c r="D9" s="252" t="s">
        <v>60</v>
      </c>
      <c r="E9" s="252" t="s">
        <v>3044</v>
      </c>
      <c r="F9" s="214" t="s">
        <v>3047</v>
      </c>
      <c r="G9" s="41" t="s">
        <v>1524</v>
      </c>
      <c r="H9" s="368">
        <v>4367100</v>
      </c>
      <c r="I9" s="368"/>
      <c r="J9" s="368"/>
      <c r="K9" s="25"/>
      <c r="L9" s="26"/>
      <c r="M9" s="26"/>
      <c r="N9" s="26"/>
      <c r="O9" s="254"/>
      <c r="P9" s="254"/>
      <c r="Q9" s="254"/>
      <c r="R9" s="254"/>
      <c r="S9" s="254"/>
      <c r="T9" s="254"/>
      <c r="U9" s="25" t="s">
        <v>3048</v>
      </c>
      <c r="V9" s="33"/>
      <c r="W9" s="25"/>
      <c r="X9" s="33"/>
      <c r="Y9" s="31" t="s">
        <v>3049</v>
      </c>
      <c r="Z9" s="33"/>
      <c r="AA9" s="25" t="s">
        <v>3050</v>
      </c>
      <c r="AB9" s="368"/>
      <c r="AC9" s="368"/>
      <c r="AD9" s="41"/>
      <c r="AE9" s="368"/>
      <c r="AF9" s="368"/>
      <c r="AG9" s="368"/>
      <c r="AH9" s="368"/>
      <c r="AI9" s="368"/>
      <c r="AJ9" s="368"/>
      <c r="AK9" s="368"/>
      <c r="AL9" s="31"/>
      <c r="AM9" s="368"/>
      <c r="AN9" s="368"/>
      <c r="AO9" s="368"/>
      <c r="AP9" s="368"/>
      <c r="AQ9" s="31" t="s">
        <v>3051</v>
      </c>
      <c r="AR9" s="209">
        <v>55.89</v>
      </c>
      <c r="AS9" s="202" t="s">
        <v>3059</v>
      </c>
      <c r="AT9" s="202" t="s">
        <v>3060</v>
      </c>
      <c r="AU9" s="36"/>
      <c r="AV9" s="36"/>
      <c r="AW9" s="36"/>
      <c r="AX9" s="367">
        <v>4.6500000000000004</v>
      </c>
      <c r="AY9" s="367">
        <v>11.904</v>
      </c>
      <c r="AZ9" s="365"/>
      <c r="BA9" s="373" t="s">
        <v>3056</v>
      </c>
      <c r="BB9" s="374"/>
      <c r="BC9" s="374"/>
      <c r="BD9" s="374"/>
      <c r="BE9" s="375"/>
      <c r="BF9" s="360">
        <v>15.01</v>
      </c>
      <c r="BG9" s="155">
        <v>10.26</v>
      </c>
      <c r="BH9" s="155">
        <v>13.27</v>
      </c>
      <c r="BI9" s="155">
        <f>(BF9*BG9*BH9)/1728</f>
        <v>1.18264728125</v>
      </c>
      <c r="BJ9" s="359">
        <v>1.1000000000000001</v>
      </c>
      <c r="BK9" s="360">
        <v>3.6</v>
      </c>
      <c r="BL9" s="360">
        <f>(BK9*BN9)+BJ9</f>
        <v>22.700000000000003</v>
      </c>
      <c r="BM9" s="84" t="s">
        <v>3057</v>
      </c>
      <c r="BN9" s="84">
        <v>6</v>
      </c>
      <c r="BO9" s="84">
        <v>10</v>
      </c>
      <c r="BP9" s="84">
        <v>3</v>
      </c>
      <c r="BQ9" s="84">
        <f>BN9*BO9*BP9</f>
        <v>180</v>
      </c>
      <c r="BR9" s="186">
        <f>(BO9*BP9*BL9)+50</f>
        <v>731.00000000000011</v>
      </c>
      <c r="BS9" s="84" t="s">
        <v>886</v>
      </c>
      <c r="BT9" s="90" t="s">
        <v>780</v>
      </c>
      <c r="BU9" s="81"/>
      <c r="BV9" s="81"/>
      <c r="BW9" s="248"/>
      <c r="BX9" s="372" t="s">
        <v>3061</v>
      </c>
    </row>
    <row r="10" spans="1:77" s="1" customFormat="1" ht="30" x14ac:dyDescent="0.25">
      <c r="A10" s="356">
        <v>42915</v>
      </c>
      <c r="B10" s="252" t="s">
        <v>14</v>
      </c>
      <c r="C10" s="252" t="s">
        <v>3052</v>
      </c>
      <c r="D10" s="252" t="s">
        <v>60</v>
      </c>
      <c r="E10" s="252" t="s">
        <v>3015</v>
      </c>
      <c r="F10" s="214" t="s">
        <v>3053</v>
      </c>
      <c r="G10" s="41" t="s">
        <v>1351</v>
      </c>
      <c r="H10" s="368" t="s">
        <v>1546</v>
      </c>
      <c r="I10" s="368"/>
      <c r="J10" s="368"/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33"/>
      <c r="W10" s="25"/>
      <c r="X10" s="33"/>
      <c r="Y10" s="31"/>
      <c r="Z10" s="33"/>
      <c r="AA10" s="25"/>
      <c r="AB10" s="368"/>
      <c r="AC10" s="368"/>
      <c r="AD10" s="41"/>
      <c r="AE10" s="368"/>
      <c r="AF10" s="368"/>
      <c r="AG10" s="368"/>
      <c r="AH10" s="368"/>
      <c r="AI10" s="368"/>
      <c r="AJ10" s="368"/>
      <c r="AK10" s="368"/>
      <c r="AL10" s="31"/>
      <c r="AM10" s="368"/>
      <c r="AN10" s="368"/>
      <c r="AO10" s="368"/>
      <c r="AP10" s="368"/>
      <c r="AQ10" s="31"/>
      <c r="AR10" s="209">
        <v>115.63</v>
      </c>
      <c r="AS10" s="202" t="s">
        <v>3062</v>
      </c>
      <c r="AT10" s="202" t="s">
        <v>3063</v>
      </c>
      <c r="AU10" s="36"/>
      <c r="AV10" s="36"/>
      <c r="AW10" s="36"/>
      <c r="AX10" s="36"/>
      <c r="AY10" s="36"/>
      <c r="AZ10" s="365"/>
      <c r="BA10" s="373" t="s">
        <v>3056</v>
      </c>
      <c r="BB10" s="374"/>
      <c r="BC10" s="374"/>
      <c r="BD10" s="374"/>
      <c r="BE10" s="375"/>
      <c r="BF10" s="155">
        <v>13.59</v>
      </c>
      <c r="BG10" s="155">
        <v>9.09</v>
      </c>
      <c r="BH10" s="155">
        <v>11.18</v>
      </c>
      <c r="BI10" s="155">
        <f t="shared" ref="BI10" si="2">(BF10*BG10*BH10)/1728</f>
        <v>0.79924771874999989</v>
      </c>
      <c r="BJ10" s="359">
        <v>0.84</v>
      </c>
      <c r="BK10" s="360">
        <v>10.5</v>
      </c>
      <c r="BL10" s="360">
        <f t="shared" ref="BL10" si="3">(BK10*BN10)+BJ10</f>
        <v>11.34</v>
      </c>
      <c r="BM10" s="84" t="s">
        <v>3057</v>
      </c>
      <c r="BN10" s="84">
        <v>1</v>
      </c>
      <c r="BO10" s="84">
        <v>13</v>
      </c>
      <c r="BP10" s="84">
        <v>4</v>
      </c>
      <c r="BQ10" s="84">
        <f t="shared" ref="BQ10" si="4">BN10*BO10*BP10</f>
        <v>52</v>
      </c>
      <c r="BR10" s="186">
        <f t="shared" ref="BR10" si="5">(BO10*BP10*BL10)+50</f>
        <v>639.67999999999995</v>
      </c>
      <c r="BS10" s="84" t="s">
        <v>886</v>
      </c>
      <c r="BT10" s="90" t="s">
        <v>780</v>
      </c>
      <c r="BU10" s="81"/>
      <c r="BV10" s="81"/>
      <c r="BW10" s="248"/>
      <c r="BX10" s="372" t="s">
        <v>3064</v>
      </c>
    </row>
    <row r="11" spans="1:77" s="1" customFormat="1" x14ac:dyDescent="0.25">
      <c r="A11" s="356">
        <v>42902</v>
      </c>
      <c r="B11" s="252" t="s">
        <v>14</v>
      </c>
      <c r="C11" s="252" t="s">
        <v>3039</v>
      </c>
      <c r="D11" s="252" t="s">
        <v>60</v>
      </c>
      <c r="E11" s="370" t="s">
        <v>3042</v>
      </c>
      <c r="F11" s="260" t="s">
        <v>3007</v>
      </c>
      <c r="G11" s="41" t="s">
        <v>1369</v>
      </c>
      <c r="H11" s="25" t="s">
        <v>3008</v>
      </c>
      <c r="I11" s="362"/>
      <c r="J11" s="362"/>
      <c r="K11" s="25"/>
      <c r="L11" s="26"/>
      <c r="M11" s="26"/>
      <c r="N11" s="26"/>
      <c r="O11" s="254"/>
      <c r="P11" s="254"/>
      <c r="Q11" s="254"/>
      <c r="R11" s="254"/>
      <c r="S11" s="254"/>
      <c r="T11" s="254"/>
      <c r="U11" s="25" t="s">
        <v>3009</v>
      </c>
      <c r="V11" s="33"/>
      <c r="W11" s="25"/>
      <c r="X11" s="33"/>
      <c r="Y11" s="31" t="s">
        <v>3010</v>
      </c>
      <c r="Z11" s="33"/>
      <c r="AA11" s="25" t="s">
        <v>3011</v>
      </c>
      <c r="AB11" s="362" t="s">
        <v>3012</v>
      </c>
      <c r="AC11" s="362"/>
      <c r="AD11" s="41"/>
      <c r="AE11" s="362"/>
      <c r="AF11" s="362"/>
      <c r="AG11" s="362"/>
      <c r="AH11" s="362"/>
      <c r="AI11" s="362"/>
      <c r="AJ11" s="362"/>
      <c r="AK11" s="362"/>
      <c r="AL11" s="31" t="s">
        <v>3013</v>
      </c>
      <c r="AM11" s="362"/>
      <c r="AN11" s="362"/>
      <c r="AO11" s="362"/>
      <c r="AP11" s="362"/>
      <c r="AQ11" s="362">
        <v>57909</v>
      </c>
      <c r="AR11" s="209">
        <v>39.869999999999997</v>
      </c>
      <c r="AS11" s="202" t="s">
        <v>3027</v>
      </c>
      <c r="AT11" s="202" t="s">
        <v>3028</v>
      </c>
      <c r="AU11" s="36"/>
      <c r="AV11" s="36"/>
      <c r="AW11" s="36"/>
      <c r="AX11" s="363">
        <v>4.6849999999999996</v>
      </c>
      <c r="AY11" s="363">
        <v>10.413</v>
      </c>
      <c r="AZ11" s="365"/>
      <c r="BA11" s="421" t="s">
        <v>3029</v>
      </c>
      <c r="BB11" s="422"/>
      <c r="BC11" s="422"/>
      <c r="BD11" s="422"/>
      <c r="BE11" s="423"/>
      <c r="BF11" s="360">
        <f>15.748+0.25</f>
        <v>15.997999999999999</v>
      </c>
      <c r="BG11" s="155">
        <f>10.039+0.25</f>
        <v>10.289</v>
      </c>
      <c r="BH11" s="155">
        <f>10.827+0.5</f>
        <v>11.327</v>
      </c>
      <c r="BI11" s="155">
        <f>(BF11*BG11*BH11)/1728</f>
        <v>1.078971620945602</v>
      </c>
      <c r="BJ11" s="359">
        <v>1.3</v>
      </c>
      <c r="BK11" s="360">
        <v>0.8</v>
      </c>
      <c r="BL11" s="360">
        <f>(BK11*BN11)+BJ11</f>
        <v>6.1000000000000005</v>
      </c>
      <c r="BM11" s="84" t="s">
        <v>764</v>
      </c>
      <c r="BN11" s="84">
        <v>6</v>
      </c>
      <c r="BO11" s="84">
        <v>10</v>
      </c>
      <c r="BP11" s="84">
        <v>3</v>
      </c>
      <c r="BQ11" s="84">
        <f>BN11*BO11*BP11</f>
        <v>180</v>
      </c>
      <c r="BR11" s="186">
        <f>(BL11*BO11*BP11)+50</f>
        <v>233.00000000000003</v>
      </c>
      <c r="BS11" s="84" t="s">
        <v>779</v>
      </c>
      <c r="BT11" s="90" t="s">
        <v>780</v>
      </c>
      <c r="BU11" s="81"/>
      <c r="BV11" s="81"/>
      <c r="BW11" s="35"/>
    </row>
    <row r="12" spans="1:77" s="1" customFormat="1" ht="30" x14ac:dyDescent="0.25">
      <c r="A12" s="356">
        <v>42902</v>
      </c>
      <c r="B12" s="252" t="s">
        <v>14</v>
      </c>
      <c r="C12" s="252" t="s">
        <v>3014</v>
      </c>
      <c r="D12" s="252" t="s">
        <v>60</v>
      </c>
      <c r="E12" s="252" t="s">
        <v>3015</v>
      </c>
      <c r="F12" s="214" t="s">
        <v>3016</v>
      </c>
      <c r="G12" s="41" t="s">
        <v>2602</v>
      </c>
      <c r="H12" s="362" t="s">
        <v>1546</v>
      </c>
      <c r="I12" s="362"/>
      <c r="J12" s="362"/>
      <c r="K12" s="25"/>
      <c r="L12" s="26"/>
      <c r="M12" s="26"/>
      <c r="N12" s="26"/>
      <c r="O12" s="254"/>
      <c r="P12" s="254"/>
      <c r="Q12" s="254"/>
      <c r="R12" s="254"/>
      <c r="S12" s="254"/>
      <c r="T12" s="254"/>
      <c r="U12" s="25"/>
      <c r="V12" s="33"/>
      <c r="W12" s="25"/>
      <c r="X12" s="33"/>
      <c r="Y12" s="31"/>
      <c r="Z12" s="33"/>
      <c r="AA12" s="25"/>
      <c r="AB12" s="362"/>
      <c r="AC12" s="362"/>
      <c r="AD12" s="41"/>
      <c r="AE12" s="362"/>
      <c r="AF12" s="362"/>
      <c r="AG12" s="362"/>
      <c r="AH12" s="362"/>
      <c r="AI12" s="362"/>
      <c r="AJ12" s="362"/>
      <c r="AK12" s="362"/>
      <c r="AL12" s="31"/>
      <c r="AM12" s="362"/>
      <c r="AN12" s="362"/>
      <c r="AO12" s="362"/>
      <c r="AP12" s="362"/>
      <c r="AQ12" s="362"/>
      <c r="AR12" s="209">
        <v>99.93</v>
      </c>
      <c r="AS12" s="202" t="s">
        <v>3030</v>
      </c>
      <c r="AT12" s="202" t="s">
        <v>3031</v>
      </c>
      <c r="AU12" s="36"/>
      <c r="AV12" s="36"/>
      <c r="AW12" s="36"/>
      <c r="AX12" s="36"/>
      <c r="AY12" s="36"/>
      <c r="AZ12" s="365"/>
      <c r="BA12" s="373" t="s">
        <v>3032</v>
      </c>
      <c r="BB12" s="374"/>
      <c r="BC12" s="374"/>
      <c r="BD12" s="374"/>
      <c r="BE12" s="375"/>
      <c r="BF12" s="155">
        <v>13.59</v>
      </c>
      <c r="BG12" s="155">
        <v>9.09</v>
      </c>
      <c r="BH12" s="155">
        <v>11.18</v>
      </c>
      <c r="BI12" s="155">
        <f t="shared" ref="BI12:BI15" si="6">(BF12*BG12*BH12)/1728</f>
        <v>0.79924771874999989</v>
      </c>
      <c r="BJ12" s="359">
        <v>0.82</v>
      </c>
      <c r="BK12" s="360">
        <v>10.39</v>
      </c>
      <c r="BL12" s="360">
        <f>(BK12*BN12)+BJ12</f>
        <v>11.21</v>
      </c>
      <c r="BM12" s="84" t="s">
        <v>764</v>
      </c>
      <c r="BN12" s="84">
        <v>1</v>
      </c>
      <c r="BO12" s="84">
        <v>13</v>
      </c>
      <c r="BP12" s="84">
        <v>4</v>
      </c>
      <c r="BQ12" s="84">
        <f>BN12*BO12*BP12</f>
        <v>52</v>
      </c>
      <c r="BR12" s="186">
        <f t="shared" ref="BR12:BR15" si="7">(BL12*BO12*BP12)+50</f>
        <v>632.92000000000007</v>
      </c>
      <c r="BS12" s="84" t="s">
        <v>886</v>
      </c>
      <c r="BT12" s="90" t="s">
        <v>780</v>
      </c>
      <c r="BU12" s="81"/>
      <c r="BV12" s="81"/>
      <c r="BW12" s="81"/>
    </row>
    <row r="13" spans="1:77" s="1" customFormat="1" ht="30" x14ac:dyDescent="0.25">
      <c r="A13" s="356">
        <v>42902</v>
      </c>
      <c r="B13" s="252" t="s">
        <v>14</v>
      </c>
      <c r="C13" s="252" t="s">
        <v>3017</v>
      </c>
      <c r="D13" s="252" t="s">
        <v>60</v>
      </c>
      <c r="E13" s="252" t="s">
        <v>3015</v>
      </c>
      <c r="F13" s="214" t="s">
        <v>3018</v>
      </c>
      <c r="G13" s="41" t="s">
        <v>2602</v>
      </c>
      <c r="H13" s="362" t="s">
        <v>1546</v>
      </c>
      <c r="I13" s="362"/>
      <c r="J13" s="362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5"/>
      <c r="V13" s="33"/>
      <c r="W13" s="25"/>
      <c r="X13" s="33"/>
      <c r="Y13" s="31"/>
      <c r="Z13" s="33"/>
      <c r="AA13" s="25"/>
      <c r="AB13" s="362"/>
      <c r="AC13" s="362"/>
      <c r="AD13" s="41"/>
      <c r="AE13" s="362"/>
      <c r="AF13" s="362"/>
      <c r="AG13" s="362"/>
      <c r="AH13" s="362"/>
      <c r="AI13" s="362"/>
      <c r="AJ13" s="362"/>
      <c r="AK13" s="362"/>
      <c r="AL13" s="31"/>
      <c r="AM13" s="362"/>
      <c r="AN13" s="362"/>
      <c r="AO13" s="362"/>
      <c r="AP13" s="362"/>
      <c r="AQ13" s="362"/>
      <c r="AR13" s="209">
        <v>162.51</v>
      </c>
      <c r="AS13" s="202" t="s">
        <v>3033</v>
      </c>
      <c r="AT13" s="202" t="s">
        <v>3034</v>
      </c>
      <c r="AU13" s="36"/>
      <c r="AV13" s="36"/>
      <c r="AW13" s="36"/>
      <c r="AX13" s="36"/>
      <c r="AY13" s="36"/>
      <c r="AZ13" s="365"/>
      <c r="BA13" s="373" t="s">
        <v>3032</v>
      </c>
      <c r="BB13" s="374"/>
      <c r="BC13" s="374"/>
      <c r="BD13" s="374"/>
      <c r="BE13" s="375"/>
      <c r="BF13" s="155">
        <v>14.59</v>
      </c>
      <c r="BG13" s="155">
        <v>9.7100000000000009</v>
      </c>
      <c r="BH13" s="155">
        <v>11.74</v>
      </c>
      <c r="BI13" s="155">
        <f t="shared" si="6"/>
        <v>0.96249588310185186</v>
      </c>
      <c r="BJ13" s="359">
        <v>1.34</v>
      </c>
      <c r="BK13" s="360">
        <v>11.6</v>
      </c>
      <c r="BL13" s="360">
        <f t="shared" ref="BL13:BL14" si="8">(BK13*BN13)+BJ13</f>
        <v>12.94</v>
      </c>
      <c r="BM13" s="84" t="s">
        <v>764</v>
      </c>
      <c r="BN13" s="84">
        <v>1</v>
      </c>
      <c r="BO13" s="84">
        <v>12</v>
      </c>
      <c r="BP13" s="84">
        <v>3</v>
      </c>
      <c r="BQ13" s="84">
        <f t="shared" ref="BQ13:BQ15" si="9">BN13*BO13*BP13</f>
        <v>36</v>
      </c>
      <c r="BR13" s="186">
        <f t="shared" si="7"/>
        <v>515.84</v>
      </c>
      <c r="BS13" s="84" t="s">
        <v>886</v>
      </c>
      <c r="BT13" s="90" t="s">
        <v>780</v>
      </c>
      <c r="BU13" s="81"/>
      <c r="BV13" s="81"/>
      <c r="BW13" s="81"/>
    </row>
    <row r="14" spans="1:77" s="1" customFormat="1" x14ac:dyDescent="0.25">
      <c r="A14" s="356">
        <v>42902</v>
      </c>
      <c r="B14" s="252" t="s">
        <v>14</v>
      </c>
      <c r="C14" s="252" t="s">
        <v>3019</v>
      </c>
      <c r="D14" s="252" t="s">
        <v>60</v>
      </c>
      <c r="E14" s="252" t="s">
        <v>3015</v>
      </c>
      <c r="F14" s="214" t="s">
        <v>3020</v>
      </c>
      <c r="G14" s="41" t="s">
        <v>1351</v>
      </c>
      <c r="H14" s="362" t="s">
        <v>1546</v>
      </c>
      <c r="I14" s="362"/>
      <c r="J14" s="362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5"/>
      <c r="V14" s="33"/>
      <c r="W14" s="25"/>
      <c r="X14" s="33"/>
      <c r="Y14" s="31"/>
      <c r="Z14" s="33"/>
      <c r="AA14" s="25"/>
      <c r="AB14" s="362"/>
      <c r="AC14" s="362"/>
      <c r="AD14" s="41"/>
      <c r="AE14" s="362"/>
      <c r="AF14" s="362"/>
      <c r="AG14" s="362"/>
      <c r="AH14" s="362"/>
      <c r="AI14" s="362"/>
      <c r="AJ14" s="362"/>
      <c r="AK14" s="362"/>
      <c r="AL14" s="31"/>
      <c r="AM14" s="362"/>
      <c r="AN14" s="362"/>
      <c r="AO14" s="362"/>
      <c r="AP14" s="362"/>
      <c r="AQ14" s="362"/>
      <c r="AR14" s="209">
        <v>84.29</v>
      </c>
      <c r="AS14" s="202" t="s">
        <v>3035</v>
      </c>
      <c r="AT14" s="202" t="s">
        <v>3036</v>
      </c>
      <c r="AU14" s="36"/>
      <c r="AV14" s="36"/>
      <c r="AW14" s="36"/>
      <c r="AX14" s="36"/>
      <c r="AY14" s="36"/>
      <c r="AZ14" s="365"/>
      <c r="BA14" s="373" t="s">
        <v>3032</v>
      </c>
      <c r="BB14" s="374"/>
      <c r="BC14" s="374"/>
      <c r="BD14" s="374"/>
      <c r="BE14" s="375"/>
      <c r="BF14" s="155">
        <v>9.09</v>
      </c>
      <c r="BG14" s="155">
        <v>9.09</v>
      </c>
      <c r="BH14" s="155">
        <v>11.93</v>
      </c>
      <c r="BI14" s="155">
        <f t="shared" si="6"/>
        <v>0.57045904687500004</v>
      </c>
      <c r="BJ14" s="359">
        <v>1</v>
      </c>
      <c r="BK14" s="360">
        <v>9.4</v>
      </c>
      <c r="BL14" s="360">
        <f t="shared" si="8"/>
        <v>10.4</v>
      </c>
      <c r="BM14" s="84" t="s">
        <v>764</v>
      </c>
      <c r="BN14" s="84">
        <v>1</v>
      </c>
      <c r="BO14" s="84">
        <v>20</v>
      </c>
      <c r="BP14" s="84">
        <v>3</v>
      </c>
      <c r="BQ14" s="84">
        <f t="shared" si="9"/>
        <v>60</v>
      </c>
      <c r="BR14" s="186">
        <f t="shared" si="7"/>
        <v>674</v>
      </c>
      <c r="BS14" s="84" t="s">
        <v>886</v>
      </c>
      <c r="BT14" s="90" t="s">
        <v>780</v>
      </c>
      <c r="BU14" s="81"/>
      <c r="BV14" s="81"/>
      <c r="BW14" s="81"/>
    </row>
    <row r="15" spans="1:77" s="1" customFormat="1" x14ac:dyDescent="0.25">
      <c r="A15" s="356">
        <v>42902</v>
      </c>
      <c r="B15" s="252" t="s">
        <v>14</v>
      </c>
      <c r="C15" s="302" t="s">
        <v>3040</v>
      </c>
      <c r="D15" s="252" t="s">
        <v>60</v>
      </c>
      <c r="E15" s="371" t="s">
        <v>3041</v>
      </c>
      <c r="F15" s="214" t="s">
        <v>3021</v>
      </c>
      <c r="G15" s="41" t="s">
        <v>2455</v>
      </c>
      <c r="H15" s="25">
        <v>1561200</v>
      </c>
      <c r="I15" s="362"/>
      <c r="J15" s="362"/>
      <c r="K15" s="25"/>
      <c r="L15" s="26"/>
      <c r="M15" s="26"/>
      <c r="N15" s="26"/>
      <c r="O15" s="254"/>
      <c r="P15" s="254"/>
      <c r="Q15" s="254"/>
      <c r="R15" s="254"/>
      <c r="S15" s="254"/>
      <c r="T15" s="254"/>
      <c r="U15" s="25" t="s">
        <v>3022</v>
      </c>
      <c r="V15" s="33"/>
      <c r="W15" s="25"/>
      <c r="X15" s="33"/>
      <c r="Y15" s="31" t="s">
        <v>3023</v>
      </c>
      <c r="Z15" s="33"/>
      <c r="AA15" s="25" t="s">
        <v>3024</v>
      </c>
      <c r="AB15" s="362" t="s">
        <v>3025</v>
      </c>
      <c r="AC15" s="362"/>
      <c r="AD15" s="41"/>
      <c r="AE15" s="362"/>
      <c r="AF15" s="362"/>
      <c r="AG15" s="362"/>
      <c r="AH15" s="362"/>
      <c r="AI15" s="362"/>
      <c r="AJ15" s="362"/>
      <c r="AK15" s="362"/>
      <c r="AL15" s="31"/>
      <c r="AM15" s="362"/>
      <c r="AN15" s="362"/>
      <c r="AO15" s="362"/>
      <c r="AP15" s="362"/>
      <c r="AQ15" s="362" t="s">
        <v>3026</v>
      </c>
      <c r="AR15" s="209">
        <v>24.08</v>
      </c>
      <c r="AS15" s="366" t="s">
        <v>3037</v>
      </c>
      <c r="AT15" s="366" t="s">
        <v>3038</v>
      </c>
      <c r="AU15" s="36"/>
      <c r="AV15" s="36"/>
      <c r="AW15" s="36"/>
      <c r="AX15" s="363">
        <v>3.27</v>
      </c>
      <c r="AY15" s="363">
        <v>5.29</v>
      </c>
      <c r="AZ15" s="115"/>
      <c r="BA15" s="326">
        <v>3.81</v>
      </c>
      <c r="BB15" s="326">
        <v>3.81</v>
      </c>
      <c r="BC15" s="326">
        <v>5.37</v>
      </c>
      <c r="BD15" s="324">
        <v>4.5999999999999999E-2</v>
      </c>
      <c r="BE15" s="88">
        <v>0.08</v>
      </c>
      <c r="BF15" s="323">
        <v>11.92</v>
      </c>
      <c r="BG15" s="323">
        <v>7.99</v>
      </c>
      <c r="BH15" s="323">
        <v>5.98</v>
      </c>
      <c r="BI15" s="155">
        <f t="shared" si="6"/>
        <v>0.32959489814814824</v>
      </c>
      <c r="BJ15" s="91">
        <v>0.42</v>
      </c>
      <c r="BK15" s="91">
        <v>0.64200000000000002</v>
      </c>
      <c r="BL15" s="360">
        <f>((BE15+BK15)*BN15)+BJ15</f>
        <v>4.7519999999999998</v>
      </c>
      <c r="BM15" s="124" t="s">
        <v>764</v>
      </c>
      <c r="BN15" s="364">
        <v>6</v>
      </c>
      <c r="BO15" s="364">
        <v>20</v>
      </c>
      <c r="BP15" s="364">
        <v>7</v>
      </c>
      <c r="BQ15" s="84">
        <f t="shared" si="9"/>
        <v>840</v>
      </c>
      <c r="BR15" s="186">
        <f t="shared" si="7"/>
        <v>715.28</v>
      </c>
      <c r="BS15" s="27" t="s">
        <v>886</v>
      </c>
      <c r="BT15" s="90" t="s">
        <v>780</v>
      </c>
      <c r="BU15" s="81"/>
      <c r="BV15" s="81"/>
      <c r="BW15" s="81"/>
      <c r="BX15" s="81"/>
      <c r="BY15" s="81"/>
    </row>
    <row r="16" spans="1:77" s="1" customFormat="1" ht="30" x14ac:dyDescent="0.25">
      <c r="A16" s="356">
        <v>42888</v>
      </c>
      <c r="B16" s="252" t="s">
        <v>14</v>
      </c>
      <c r="C16" s="252" t="s">
        <v>2972</v>
      </c>
      <c r="D16" s="252" t="s">
        <v>60</v>
      </c>
      <c r="E16" s="252" t="s">
        <v>1707</v>
      </c>
      <c r="F16" s="260" t="s">
        <v>2973</v>
      </c>
      <c r="G16" s="41" t="s">
        <v>1501</v>
      </c>
      <c r="H16" s="25" t="s">
        <v>1546</v>
      </c>
      <c r="I16" s="355"/>
      <c r="J16" s="355"/>
      <c r="K16" s="25"/>
      <c r="L16" s="26"/>
      <c r="M16" s="26"/>
      <c r="N16" s="26"/>
      <c r="O16" s="254"/>
      <c r="P16" s="254"/>
      <c r="Q16" s="254"/>
      <c r="R16" s="254"/>
      <c r="S16" s="254"/>
      <c r="T16" s="254"/>
      <c r="U16" s="25"/>
      <c r="V16" s="33"/>
      <c r="W16" s="25"/>
      <c r="X16" s="33"/>
      <c r="Y16" s="31"/>
      <c r="Z16" s="33"/>
      <c r="AA16" s="25"/>
      <c r="AB16" s="355"/>
      <c r="AC16" s="355"/>
      <c r="AD16" s="41"/>
      <c r="AE16" s="355"/>
      <c r="AF16" s="355"/>
      <c r="AG16" s="355"/>
      <c r="AH16" s="355"/>
      <c r="AI16" s="355"/>
      <c r="AJ16" s="355"/>
      <c r="AK16" s="355"/>
      <c r="AL16" s="31"/>
      <c r="AM16" s="355"/>
      <c r="AN16" s="355"/>
      <c r="AO16" s="355"/>
      <c r="AP16" s="355"/>
      <c r="AQ16" s="355"/>
      <c r="AR16" s="209">
        <v>54.68</v>
      </c>
      <c r="AS16" s="202" t="s">
        <v>2998</v>
      </c>
      <c r="AT16" s="202" t="s">
        <v>2999</v>
      </c>
      <c r="AU16" s="36"/>
      <c r="AV16" s="36"/>
      <c r="AW16" s="36"/>
      <c r="AX16" s="36"/>
      <c r="AY16" s="36"/>
      <c r="AZ16" s="358">
        <v>3.18</v>
      </c>
      <c r="BA16" s="373" t="s">
        <v>3000</v>
      </c>
      <c r="BB16" s="374"/>
      <c r="BC16" s="374"/>
      <c r="BD16" s="374"/>
      <c r="BE16" s="375"/>
      <c r="BF16" s="155">
        <v>8.99</v>
      </c>
      <c r="BG16" s="155">
        <v>8.99</v>
      </c>
      <c r="BH16" s="155">
        <v>8.85</v>
      </c>
      <c r="BI16" s="155">
        <f>(BH16*BG16*BF16)/1728</f>
        <v>0.41392238715277779</v>
      </c>
      <c r="BJ16" s="359">
        <f>0.48+0.1</f>
        <v>0.57999999999999996</v>
      </c>
      <c r="BK16" s="360">
        <f>AZ16</f>
        <v>3.18</v>
      </c>
      <c r="BL16" s="360">
        <f>(AZ16*BN16)+BJ16</f>
        <v>3.7600000000000002</v>
      </c>
      <c r="BM16" s="84" t="s">
        <v>764</v>
      </c>
      <c r="BN16" s="84">
        <v>1</v>
      </c>
      <c r="BO16" s="84">
        <v>20</v>
      </c>
      <c r="BP16" s="84">
        <v>5</v>
      </c>
      <c r="BQ16" s="84">
        <f>BN16*BO16*BP16</f>
        <v>100</v>
      </c>
      <c r="BR16" s="186">
        <f>((((AZ16+BE16)*BN16)+BJ16)*BO16*BP16)+50</f>
        <v>426</v>
      </c>
      <c r="BS16" s="84" t="s">
        <v>886</v>
      </c>
      <c r="BT16" s="90" t="s">
        <v>780</v>
      </c>
      <c r="BU16" s="81"/>
      <c r="BV16" s="81"/>
      <c r="BW16" s="35"/>
    </row>
    <row r="17" spans="1:77" s="1" customFormat="1" x14ac:dyDescent="0.25">
      <c r="A17" s="356">
        <v>42888</v>
      </c>
      <c r="B17" s="252" t="s">
        <v>14</v>
      </c>
      <c r="C17" s="252" t="s">
        <v>2974</v>
      </c>
      <c r="D17" s="252" t="s">
        <v>60</v>
      </c>
      <c r="E17" s="252" t="s">
        <v>2975</v>
      </c>
      <c r="F17" s="214" t="s">
        <v>2976</v>
      </c>
      <c r="G17" s="41" t="s">
        <v>2977</v>
      </c>
      <c r="H17" s="357" t="s">
        <v>2978</v>
      </c>
      <c r="I17" s="355"/>
      <c r="J17" s="355"/>
      <c r="K17" s="25"/>
      <c r="L17" s="26"/>
      <c r="M17" s="26"/>
      <c r="N17" s="26"/>
      <c r="O17" s="254"/>
      <c r="P17" s="254"/>
      <c r="Q17" s="254"/>
      <c r="R17" s="254"/>
      <c r="S17" s="254"/>
      <c r="T17" s="254"/>
      <c r="U17" s="25" t="s">
        <v>2979</v>
      </c>
      <c r="V17" s="33"/>
      <c r="W17" s="25">
        <v>93060</v>
      </c>
      <c r="X17" s="33"/>
      <c r="Y17" s="31" t="s">
        <v>2980</v>
      </c>
      <c r="Z17" s="33"/>
      <c r="AA17" s="25" t="s">
        <v>2981</v>
      </c>
      <c r="AB17" s="355"/>
      <c r="AC17" s="355" t="s">
        <v>2982</v>
      </c>
      <c r="AD17" s="41"/>
      <c r="AE17" s="355"/>
      <c r="AF17" s="355"/>
      <c r="AG17" s="355"/>
      <c r="AH17" s="355"/>
      <c r="AI17" s="355"/>
      <c r="AJ17" s="355"/>
      <c r="AK17" s="355">
        <v>500060</v>
      </c>
      <c r="AL17" s="31"/>
      <c r="AM17" s="355"/>
      <c r="AN17" s="355"/>
      <c r="AO17" s="355"/>
      <c r="AP17" s="355"/>
      <c r="AQ17" s="355" t="s">
        <v>2983</v>
      </c>
      <c r="AR17" s="209">
        <v>48.81</v>
      </c>
      <c r="AS17" s="202" t="s">
        <v>3001</v>
      </c>
      <c r="AT17" s="202" t="s">
        <v>3002</v>
      </c>
      <c r="AU17" s="36"/>
      <c r="AV17" s="36"/>
      <c r="AW17" s="36"/>
      <c r="AX17" s="354">
        <v>7.3</v>
      </c>
      <c r="AY17" s="354">
        <v>11.365</v>
      </c>
      <c r="AZ17" s="358">
        <v>0.95</v>
      </c>
      <c r="BA17" s="373" t="s">
        <v>3003</v>
      </c>
      <c r="BB17" s="374"/>
      <c r="BC17" s="374"/>
      <c r="BD17" s="374"/>
      <c r="BE17" s="375"/>
      <c r="BF17" s="155">
        <v>11.86</v>
      </c>
      <c r="BG17" s="155">
        <v>7.86</v>
      </c>
      <c r="BH17" s="155">
        <v>7.98</v>
      </c>
      <c r="BI17" s="155">
        <f>(BH17*BG17*BF17)/1728</f>
        <v>0.43049329166666667</v>
      </c>
      <c r="BJ17" s="359">
        <v>0.44</v>
      </c>
      <c r="BK17" s="360">
        <f>AZ17</f>
        <v>0.95</v>
      </c>
      <c r="BL17" s="360">
        <f>(AZ17*BN17)+BJ17</f>
        <v>1.39</v>
      </c>
      <c r="BM17" s="84" t="s">
        <v>764</v>
      </c>
      <c r="BN17" s="84">
        <v>1</v>
      </c>
      <c r="BO17" s="84">
        <v>30</v>
      </c>
      <c r="BP17" s="84">
        <v>3</v>
      </c>
      <c r="BQ17" s="84">
        <f>BN17*BO17*BP17</f>
        <v>90</v>
      </c>
      <c r="BR17" s="186">
        <f>((((AZ17+BE17)*BN17)+BJ17)*BO17*BP17)+50</f>
        <v>175.1</v>
      </c>
      <c r="BS17" s="84" t="s">
        <v>886</v>
      </c>
      <c r="BT17" s="90" t="s">
        <v>766</v>
      </c>
      <c r="BU17" s="81"/>
      <c r="BV17" s="81"/>
      <c r="BW17" s="81"/>
    </row>
    <row r="18" spans="1:77" s="1" customFormat="1" ht="30" x14ac:dyDescent="0.25">
      <c r="A18" s="356">
        <v>42888</v>
      </c>
      <c r="B18" s="252" t="s">
        <v>14</v>
      </c>
      <c r="C18" s="252" t="s">
        <v>2984</v>
      </c>
      <c r="D18" s="252" t="s">
        <v>60</v>
      </c>
      <c r="E18" s="82" t="s">
        <v>2985</v>
      </c>
      <c r="F18" s="214" t="s">
        <v>2986</v>
      </c>
      <c r="G18" s="41" t="s">
        <v>2987</v>
      </c>
      <c r="H18" s="355">
        <v>87404270</v>
      </c>
      <c r="I18" s="355" t="s">
        <v>738</v>
      </c>
      <c r="J18" s="355" t="s">
        <v>2988</v>
      </c>
      <c r="K18" s="25" t="s">
        <v>2455</v>
      </c>
      <c r="L18" s="26" t="s">
        <v>2989</v>
      </c>
      <c r="M18" s="26" t="s">
        <v>2990</v>
      </c>
      <c r="N18" s="26">
        <v>961416</v>
      </c>
      <c r="O18" s="26" t="s">
        <v>1524</v>
      </c>
      <c r="P18" s="26">
        <v>3013210</v>
      </c>
      <c r="Q18" s="26" t="s">
        <v>899</v>
      </c>
      <c r="R18" s="26" t="s">
        <v>2991</v>
      </c>
      <c r="S18" s="26" t="s">
        <v>2463</v>
      </c>
      <c r="T18" s="26">
        <v>35123512</v>
      </c>
      <c r="U18" s="25" t="s">
        <v>2992</v>
      </c>
      <c r="V18" s="33"/>
      <c r="W18" s="25">
        <v>87546</v>
      </c>
      <c r="X18" s="33"/>
      <c r="Y18" s="31" t="s">
        <v>2993</v>
      </c>
      <c r="Z18" s="33"/>
      <c r="AA18" s="25" t="s">
        <v>2994</v>
      </c>
      <c r="AB18" s="355" t="s">
        <v>2995</v>
      </c>
      <c r="AC18" s="355"/>
      <c r="AD18" s="41"/>
      <c r="AE18" s="355"/>
      <c r="AF18" s="355"/>
      <c r="AG18" s="355"/>
      <c r="AH18" s="355"/>
      <c r="AI18" s="355"/>
      <c r="AJ18" s="355"/>
      <c r="AK18" s="355" t="s">
        <v>2996</v>
      </c>
      <c r="AL18" s="31"/>
      <c r="AM18" s="355"/>
      <c r="AN18" s="355"/>
      <c r="AO18" s="355"/>
      <c r="AP18" s="355"/>
      <c r="AQ18" s="355" t="s">
        <v>2997</v>
      </c>
      <c r="AR18" s="209">
        <v>175.63</v>
      </c>
      <c r="AS18" s="202" t="s">
        <v>3004</v>
      </c>
      <c r="AT18" s="202" t="s">
        <v>3005</v>
      </c>
      <c r="AU18" s="36"/>
      <c r="AV18" s="36"/>
      <c r="AW18" s="36"/>
      <c r="AX18" s="354">
        <v>12.75</v>
      </c>
      <c r="AY18" s="354">
        <v>24.06</v>
      </c>
      <c r="AZ18" s="358">
        <v>9.3800000000000008</v>
      </c>
      <c r="BA18" s="373" t="s">
        <v>3003</v>
      </c>
      <c r="BB18" s="374"/>
      <c r="BC18" s="374"/>
      <c r="BD18" s="374"/>
      <c r="BE18" s="375"/>
      <c r="BF18" s="155">
        <v>25.52</v>
      </c>
      <c r="BG18" s="155">
        <v>14.22</v>
      </c>
      <c r="BH18" s="155">
        <v>14.56</v>
      </c>
      <c r="BI18" s="155">
        <f>(BH18*BG18*BF18)/1728</f>
        <v>3.0577213333333333</v>
      </c>
      <c r="BJ18" s="359">
        <v>2.75</v>
      </c>
      <c r="BK18" s="360">
        <f>AZ18</f>
        <v>9.3800000000000008</v>
      </c>
      <c r="BL18" s="360">
        <f>(AZ18*BN18)+BJ18</f>
        <v>12.13</v>
      </c>
      <c r="BM18" s="84" t="s">
        <v>764</v>
      </c>
      <c r="BN18" s="84">
        <v>1</v>
      </c>
      <c r="BO18" s="84">
        <v>6</v>
      </c>
      <c r="BP18" s="84">
        <v>1</v>
      </c>
      <c r="BQ18" s="84">
        <f>BN18*BO18*BP18</f>
        <v>6</v>
      </c>
      <c r="BR18" s="186">
        <f>((((AZ18+BE18)*BN18)+BJ18)*BO18*BP18)+50</f>
        <v>122.78</v>
      </c>
      <c r="BS18" s="84" t="s">
        <v>886</v>
      </c>
      <c r="BT18" s="90" t="s">
        <v>766</v>
      </c>
      <c r="BU18" s="81"/>
      <c r="BV18" s="81"/>
      <c r="BW18" s="81"/>
      <c r="BX18" s="81"/>
      <c r="BY18" s="81"/>
    </row>
    <row r="19" spans="1:77" s="1" customFormat="1" x14ac:dyDescent="0.25">
      <c r="A19" s="106">
        <v>42781</v>
      </c>
      <c r="B19" s="208" t="s">
        <v>14</v>
      </c>
      <c r="C19" s="208" t="s">
        <v>2889</v>
      </c>
      <c r="D19" s="208" t="s">
        <v>735</v>
      </c>
      <c r="E19" s="208" t="s">
        <v>930</v>
      </c>
      <c r="F19" s="214" t="s">
        <v>2890</v>
      </c>
      <c r="G19" s="41" t="s">
        <v>963</v>
      </c>
      <c r="H19" s="25" t="s">
        <v>2891</v>
      </c>
      <c r="I19" s="345"/>
      <c r="J19" s="345"/>
      <c r="K19" s="25"/>
      <c r="L19" s="26"/>
      <c r="M19" s="26"/>
      <c r="N19" s="26"/>
      <c r="O19" s="254"/>
      <c r="P19" s="254"/>
      <c r="Q19" s="254"/>
      <c r="R19" s="254"/>
      <c r="S19" s="254"/>
      <c r="T19" s="254"/>
      <c r="U19" s="25"/>
      <c r="V19" s="33"/>
      <c r="W19" s="25"/>
      <c r="X19" s="33"/>
      <c r="Y19" s="31"/>
      <c r="Z19" s="33"/>
      <c r="AA19" s="25"/>
      <c r="AB19" s="345"/>
      <c r="AC19" s="345"/>
      <c r="AD19" s="41"/>
      <c r="AE19" s="345" t="s">
        <v>2892</v>
      </c>
      <c r="AF19" s="345"/>
      <c r="AG19" s="345"/>
      <c r="AH19" s="345"/>
      <c r="AI19" s="345"/>
      <c r="AJ19" s="345"/>
      <c r="AK19" s="345"/>
      <c r="AL19" s="31"/>
      <c r="AM19" s="345"/>
      <c r="AN19" s="345"/>
      <c r="AO19" s="345"/>
      <c r="AP19" s="345"/>
      <c r="AQ19" s="345" t="s">
        <v>2893</v>
      </c>
      <c r="AR19" s="351">
        <v>34.47</v>
      </c>
      <c r="AS19" s="350" t="s">
        <v>2950</v>
      </c>
      <c r="AT19" s="350" t="s">
        <v>2951</v>
      </c>
      <c r="AU19" s="314">
        <v>9.17</v>
      </c>
      <c r="AV19" s="314">
        <v>5.57</v>
      </c>
      <c r="AW19" s="314">
        <v>2.2200000000000002</v>
      </c>
      <c r="AX19" s="203"/>
      <c r="AY19" s="203"/>
      <c r="AZ19" s="315">
        <v>0.39</v>
      </c>
      <c r="BA19" s="316">
        <v>7.0359999999999996</v>
      </c>
      <c r="BB19" s="316">
        <v>2.536</v>
      </c>
      <c r="BC19" s="316">
        <v>11.821999999999999</v>
      </c>
      <c r="BD19" s="317">
        <v>0.12207375307407406</v>
      </c>
      <c r="BE19" s="315">
        <v>0.19</v>
      </c>
      <c r="BF19" s="318">
        <v>12.25</v>
      </c>
      <c r="BG19" s="318">
        <v>7.5</v>
      </c>
      <c r="BH19" s="318">
        <v>8.5</v>
      </c>
      <c r="BI19" s="318">
        <v>0.4519314236111111</v>
      </c>
      <c r="BJ19" s="322">
        <v>0.44</v>
      </c>
      <c r="BK19" s="322">
        <v>0.58000000000000007</v>
      </c>
      <c r="BL19" s="322">
        <v>2.1800000000000002</v>
      </c>
      <c r="BM19" s="287" t="s">
        <v>764</v>
      </c>
      <c r="BN19" s="345">
        <v>3</v>
      </c>
      <c r="BO19" s="345">
        <v>20</v>
      </c>
      <c r="BP19" s="345">
        <v>5</v>
      </c>
      <c r="BQ19" s="192">
        <v>300</v>
      </c>
      <c r="BR19" s="320">
        <v>268</v>
      </c>
      <c r="BS19" s="192" t="s">
        <v>769</v>
      </c>
      <c r="BT19" s="289" t="s">
        <v>766</v>
      </c>
      <c r="BU19" s="81"/>
      <c r="BV19" s="81"/>
      <c r="BW19" s="35"/>
    </row>
    <row r="20" spans="1:77" s="1" customFormat="1" ht="30" x14ac:dyDescent="0.25">
      <c r="A20" s="106">
        <v>42781</v>
      </c>
      <c r="B20" s="208" t="s">
        <v>14</v>
      </c>
      <c r="C20" s="208" t="s">
        <v>2894</v>
      </c>
      <c r="D20" s="208" t="s">
        <v>735</v>
      </c>
      <c r="E20" s="208" t="s">
        <v>987</v>
      </c>
      <c r="F20" s="214" t="s">
        <v>2895</v>
      </c>
      <c r="G20" s="41" t="s">
        <v>899</v>
      </c>
      <c r="H20" s="25" t="s">
        <v>2896</v>
      </c>
      <c r="I20" s="345"/>
      <c r="J20" s="345"/>
      <c r="K20" s="25"/>
      <c r="L20" s="26"/>
      <c r="M20" s="26"/>
      <c r="N20" s="26"/>
      <c r="O20" s="254"/>
      <c r="P20" s="254"/>
      <c r="Q20" s="254"/>
      <c r="R20" s="254"/>
      <c r="S20" s="254"/>
      <c r="T20" s="254"/>
      <c r="U20" s="25"/>
      <c r="V20" s="33"/>
      <c r="W20" s="25"/>
      <c r="X20" s="33"/>
      <c r="Y20" s="31"/>
      <c r="Z20" s="33"/>
      <c r="AA20" s="25"/>
      <c r="AB20" s="345" t="s">
        <v>2897</v>
      </c>
      <c r="AC20" s="345"/>
      <c r="AD20" s="41"/>
      <c r="AE20" s="345"/>
      <c r="AF20" s="345"/>
      <c r="AG20" s="345"/>
      <c r="AH20" s="345"/>
      <c r="AI20" s="345"/>
      <c r="AJ20" s="345"/>
      <c r="AK20" s="345"/>
      <c r="AL20" s="31"/>
      <c r="AM20" s="345" t="s">
        <v>2898</v>
      </c>
      <c r="AN20" s="345" t="s">
        <v>2899</v>
      </c>
      <c r="AO20" s="345"/>
      <c r="AP20" s="345"/>
      <c r="AQ20" s="345" t="s">
        <v>2900</v>
      </c>
      <c r="AR20" s="351">
        <v>13.6</v>
      </c>
      <c r="AS20" s="350" t="s">
        <v>2952</v>
      </c>
      <c r="AT20" s="350" t="s">
        <v>2953</v>
      </c>
      <c r="AU20" s="314">
        <v>10.27</v>
      </c>
      <c r="AV20" s="314">
        <v>6.65</v>
      </c>
      <c r="AW20" s="314">
        <v>2.06</v>
      </c>
      <c r="AX20" s="203"/>
      <c r="AY20" s="203"/>
      <c r="AZ20" s="315">
        <v>1.01</v>
      </c>
      <c r="BA20" s="316">
        <v>9.17</v>
      </c>
      <c r="BB20" s="316">
        <v>2.4369999999999998</v>
      </c>
      <c r="BC20" s="316">
        <v>11.803999999999998</v>
      </c>
      <c r="BD20" s="317">
        <v>0.15265475182870367</v>
      </c>
      <c r="BE20" s="315">
        <v>0.1</v>
      </c>
      <c r="BF20" s="318">
        <v>15.407</v>
      </c>
      <c r="BG20" s="318">
        <v>12.651</v>
      </c>
      <c r="BH20" s="318">
        <v>10.146000000000001</v>
      </c>
      <c r="BI20" s="318">
        <v>1.1444427128020833</v>
      </c>
      <c r="BJ20" s="322">
        <v>0.25</v>
      </c>
      <c r="BK20" s="322">
        <v>1.1100000000000001</v>
      </c>
      <c r="BL20" s="322">
        <v>6.91</v>
      </c>
      <c r="BM20" s="287" t="s">
        <v>764</v>
      </c>
      <c r="BN20" s="345">
        <v>6</v>
      </c>
      <c r="BO20" s="345">
        <v>10</v>
      </c>
      <c r="BP20" s="345">
        <v>3</v>
      </c>
      <c r="BQ20" s="192">
        <v>180</v>
      </c>
      <c r="BR20" s="320">
        <v>257.29999999999995</v>
      </c>
      <c r="BS20" s="192" t="s">
        <v>769</v>
      </c>
      <c r="BT20" s="289" t="s">
        <v>766</v>
      </c>
      <c r="BU20" s="81"/>
      <c r="BV20" s="81"/>
      <c r="BW20" s="81"/>
    </row>
    <row r="21" spans="1:77" s="1" customFormat="1" x14ac:dyDescent="0.25">
      <c r="A21" s="106">
        <v>42781</v>
      </c>
      <c r="B21" s="208" t="s">
        <v>14</v>
      </c>
      <c r="C21" s="208" t="s">
        <v>2901</v>
      </c>
      <c r="D21" s="208" t="s">
        <v>735</v>
      </c>
      <c r="E21" s="208" t="s">
        <v>730</v>
      </c>
      <c r="F21" s="214" t="s">
        <v>2902</v>
      </c>
      <c r="G21" s="41" t="s">
        <v>899</v>
      </c>
      <c r="H21" s="345" t="s">
        <v>2903</v>
      </c>
      <c r="I21" s="345"/>
      <c r="J21" s="345"/>
      <c r="K21" s="25"/>
      <c r="L21" s="26"/>
      <c r="M21" s="26"/>
      <c r="N21" s="26"/>
      <c r="O21" s="254"/>
      <c r="P21" s="254"/>
      <c r="Q21" s="254"/>
      <c r="R21" s="254"/>
      <c r="S21" s="254"/>
      <c r="T21" s="254"/>
      <c r="U21" s="25"/>
      <c r="V21" s="33"/>
      <c r="W21" s="25"/>
      <c r="X21" s="33"/>
      <c r="Y21" s="31"/>
      <c r="Z21" s="33"/>
      <c r="AA21" s="25"/>
      <c r="AB21" s="345"/>
      <c r="AC21" s="345"/>
      <c r="AD21" s="41"/>
      <c r="AE21" s="345"/>
      <c r="AF21" s="345"/>
      <c r="AG21" s="345"/>
      <c r="AH21" s="345"/>
      <c r="AI21" s="345"/>
      <c r="AJ21" s="345"/>
      <c r="AK21" s="345"/>
      <c r="AL21" s="31"/>
      <c r="AM21" s="345" t="s">
        <v>2901</v>
      </c>
      <c r="AN21" s="345" t="s">
        <v>2904</v>
      </c>
      <c r="AO21" s="345"/>
      <c r="AP21" s="345"/>
      <c r="AQ21" s="345" t="s">
        <v>2905</v>
      </c>
      <c r="AR21" s="351">
        <v>18.16</v>
      </c>
      <c r="AS21" s="350" t="s">
        <v>2954</v>
      </c>
      <c r="AT21" s="350" t="s">
        <v>2955</v>
      </c>
      <c r="AU21" s="314">
        <v>8.9</v>
      </c>
      <c r="AV21" s="314">
        <v>7.64</v>
      </c>
      <c r="AW21" s="314">
        <v>1.18</v>
      </c>
      <c r="AX21" s="203"/>
      <c r="AY21" s="203"/>
      <c r="AZ21" s="315">
        <v>0.14000000000000001</v>
      </c>
      <c r="BA21" s="316">
        <v>8.3170000000000002</v>
      </c>
      <c r="BB21" s="316">
        <v>1.411</v>
      </c>
      <c r="BC21" s="316">
        <v>11.321999999999999</v>
      </c>
      <c r="BD21" s="317">
        <v>7.6890578364583337E-2</v>
      </c>
      <c r="BE21" s="315">
        <v>0.12</v>
      </c>
      <c r="BF21" s="318">
        <v>11.87</v>
      </c>
      <c r="BG21" s="318">
        <v>9</v>
      </c>
      <c r="BH21" s="318">
        <v>9</v>
      </c>
      <c r="BI21" s="318">
        <v>0.55640624999999999</v>
      </c>
      <c r="BJ21" s="322">
        <v>0.53</v>
      </c>
      <c r="BK21" s="322">
        <v>0.26</v>
      </c>
      <c r="BL21" s="322">
        <v>2.09</v>
      </c>
      <c r="BM21" s="287" t="s">
        <v>764</v>
      </c>
      <c r="BN21" s="345">
        <v>6</v>
      </c>
      <c r="BO21" s="345">
        <v>17</v>
      </c>
      <c r="BP21" s="345">
        <v>5</v>
      </c>
      <c r="BQ21" s="192">
        <v>510</v>
      </c>
      <c r="BR21" s="320">
        <v>227.65</v>
      </c>
      <c r="BS21" s="192" t="s">
        <v>769</v>
      </c>
      <c r="BT21" s="289" t="s">
        <v>766</v>
      </c>
      <c r="BU21" s="81"/>
      <c r="BV21" s="81"/>
      <c r="BW21" s="81"/>
      <c r="BX21" s="81"/>
      <c r="BY21" s="81"/>
    </row>
    <row r="22" spans="1:77" s="1" customFormat="1" ht="75" x14ac:dyDescent="0.25">
      <c r="A22" s="106">
        <v>42781</v>
      </c>
      <c r="B22" s="208" t="s">
        <v>14</v>
      </c>
      <c r="C22" s="208" t="s">
        <v>2906</v>
      </c>
      <c r="D22" s="208" t="s">
        <v>735</v>
      </c>
      <c r="E22" s="208" t="s">
        <v>730</v>
      </c>
      <c r="F22" s="214" t="s">
        <v>2675</v>
      </c>
      <c r="G22" s="41" t="s">
        <v>2676</v>
      </c>
      <c r="H22" s="25" t="s">
        <v>2907</v>
      </c>
      <c r="I22" s="345"/>
      <c r="J22" s="345"/>
      <c r="K22" s="25"/>
      <c r="L22" s="26"/>
      <c r="M22" s="26"/>
      <c r="N22" s="26"/>
      <c r="O22" s="254"/>
      <c r="P22" s="254"/>
      <c r="Q22" s="254"/>
      <c r="R22" s="254"/>
      <c r="S22" s="254"/>
      <c r="T22" s="254"/>
      <c r="U22" s="25"/>
      <c r="V22" s="33"/>
      <c r="W22" s="25"/>
      <c r="X22" s="33"/>
      <c r="Y22" s="31"/>
      <c r="Z22" s="33"/>
      <c r="AA22" s="25"/>
      <c r="AB22" s="345"/>
      <c r="AC22" s="345"/>
      <c r="AD22" s="41"/>
      <c r="AE22" s="345"/>
      <c r="AF22" s="345"/>
      <c r="AG22" s="345"/>
      <c r="AH22" s="345"/>
      <c r="AI22" s="345"/>
      <c r="AJ22" s="345"/>
      <c r="AK22" s="345"/>
      <c r="AL22" s="31" t="s">
        <v>2908</v>
      </c>
      <c r="AM22" s="345"/>
      <c r="AN22" s="345" t="s">
        <v>2909</v>
      </c>
      <c r="AO22" s="345"/>
      <c r="AP22" s="345"/>
      <c r="AQ22" s="345" t="s">
        <v>2910</v>
      </c>
      <c r="AR22" s="351">
        <v>19.18</v>
      </c>
      <c r="AS22" s="350" t="s">
        <v>2956</v>
      </c>
      <c r="AT22" s="350" t="s">
        <v>2957</v>
      </c>
      <c r="AU22" s="314">
        <v>10</v>
      </c>
      <c r="AV22" s="314">
        <v>9.25</v>
      </c>
      <c r="AW22" s="314">
        <v>1.26</v>
      </c>
      <c r="AX22" s="203"/>
      <c r="AY22" s="203"/>
      <c r="AZ22" s="315">
        <v>0.65</v>
      </c>
      <c r="BA22" s="316" t="s">
        <v>2958</v>
      </c>
      <c r="BB22" s="316"/>
      <c r="BC22" s="316"/>
      <c r="BD22" s="317"/>
      <c r="BE22" s="315"/>
      <c r="BF22" s="318">
        <v>12.75</v>
      </c>
      <c r="BG22" s="318">
        <v>4.75</v>
      </c>
      <c r="BH22" s="318">
        <v>11.5</v>
      </c>
      <c r="BI22" s="318">
        <v>0.4030490451388889</v>
      </c>
      <c r="BJ22" s="322">
        <v>0.4</v>
      </c>
      <c r="BK22" s="322">
        <v>0.65</v>
      </c>
      <c r="BL22" s="322">
        <v>2.35</v>
      </c>
      <c r="BM22" s="287" t="s">
        <v>764</v>
      </c>
      <c r="BN22" s="345">
        <v>3</v>
      </c>
      <c r="BO22" s="345">
        <v>12</v>
      </c>
      <c r="BP22" s="345">
        <v>9</v>
      </c>
      <c r="BQ22" s="192">
        <v>324</v>
      </c>
      <c r="BR22" s="320">
        <v>303.8</v>
      </c>
      <c r="BS22" s="192" t="s">
        <v>769</v>
      </c>
      <c r="BT22" s="289" t="s">
        <v>766</v>
      </c>
      <c r="BU22" s="81"/>
      <c r="BV22" s="81"/>
      <c r="BW22" s="35"/>
    </row>
    <row r="23" spans="1:77" s="1" customFormat="1" x14ac:dyDescent="0.25">
      <c r="A23" s="106">
        <v>42781</v>
      </c>
      <c r="B23" s="208" t="s">
        <v>14</v>
      </c>
      <c r="C23" s="208" t="s">
        <v>2911</v>
      </c>
      <c r="D23" s="208" t="s">
        <v>735</v>
      </c>
      <c r="E23" s="208" t="s">
        <v>730</v>
      </c>
      <c r="F23" s="214" t="s">
        <v>2912</v>
      </c>
      <c r="G23" s="41" t="s">
        <v>1029</v>
      </c>
      <c r="H23" s="25" t="s">
        <v>2913</v>
      </c>
      <c r="I23" s="345"/>
      <c r="J23" s="345"/>
      <c r="K23" s="25"/>
      <c r="L23" s="26"/>
      <c r="M23" s="26"/>
      <c r="N23" s="26"/>
      <c r="O23" s="254"/>
      <c r="P23" s="254"/>
      <c r="Q23" s="254"/>
      <c r="R23" s="254"/>
      <c r="S23" s="254"/>
      <c r="T23" s="254"/>
      <c r="U23" s="25"/>
      <c r="V23" s="33"/>
      <c r="W23" s="25"/>
      <c r="X23" s="33"/>
      <c r="Y23" s="31"/>
      <c r="Z23" s="33"/>
      <c r="AA23" s="25"/>
      <c r="AB23" s="345"/>
      <c r="AC23" s="345"/>
      <c r="AD23" s="41"/>
      <c r="AE23" s="345"/>
      <c r="AF23" s="345"/>
      <c r="AG23" s="345"/>
      <c r="AH23" s="345"/>
      <c r="AI23" s="345"/>
      <c r="AJ23" s="345"/>
      <c r="AK23" s="345"/>
      <c r="AL23" s="31"/>
      <c r="AM23" s="345"/>
      <c r="AN23" s="345" t="s">
        <v>2914</v>
      </c>
      <c r="AO23" s="345"/>
      <c r="AP23" s="345"/>
      <c r="AQ23" s="345"/>
      <c r="AR23" s="351">
        <v>11.49</v>
      </c>
      <c r="AS23" s="350" t="s">
        <v>2959</v>
      </c>
      <c r="AT23" s="350" t="s">
        <v>2960</v>
      </c>
      <c r="AU23" s="314">
        <v>8.5</v>
      </c>
      <c r="AV23" s="314">
        <v>7.25</v>
      </c>
      <c r="AW23" s="314">
        <v>1.1200000000000001</v>
      </c>
      <c r="AX23" s="203"/>
      <c r="AY23" s="203"/>
      <c r="AZ23" s="315">
        <v>0.09</v>
      </c>
      <c r="BA23" s="316">
        <v>8.1760000000000002</v>
      </c>
      <c r="BB23" s="316">
        <v>1.486</v>
      </c>
      <c r="BC23" s="316">
        <v>9.081999999999999</v>
      </c>
      <c r="BD23" s="317">
        <v>6.3855373814814806E-2</v>
      </c>
      <c r="BE23" s="315">
        <v>0.12</v>
      </c>
      <c r="BF23" s="318">
        <v>10</v>
      </c>
      <c r="BG23" s="318">
        <v>9.75</v>
      </c>
      <c r="BH23" s="318">
        <v>5.12</v>
      </c>
      <c r="BI23" s="318">
        <v>0.28888888888888892</v>
      </c>
      <c r="BJ23" s="322">
        <v>0.34</v>
      </c>
      <c r="BK23" s="322">
        <v>0.21</v>
      </c>
      <c r="BL23" s="322">
        <v>0.97</v>
      </c>
      <c r="BM23" s="287" t="s">
        <v>764</v>
      </c>
      <c r="BN23" s="345">
        <v>3</v>
      </c>
      <c r="BO23" s="345">
        <v>16</v>
      </c>
      <c r="BP23" s="345">
        <v>8</v>
      </c>
      <c r="BQ23" s="192">
        <v>384</v>
      </c>
      <c r="BR23" s="320">
        <v>174.16</v>
      </c>
      <c r="BS23" s="192" t="s">
        <v>886</v>
      </c>
      <c r="BT23" s="289" t="s">
        <v>766</v>
      </c>
      <c r="BU23" s="81"/>
      <c r="BV23" s="81"/>
      <c r="BW23" s="35"/>
    </row>
    <row r="24" spans="1:77" s="1" customFormat="1" x14ac:dyDescent="0.25">
      <c r="A24" s="106">
        <v>42781</v>
      </c>
      <c r="B24" s="208" t="s">
        <v>14</v>
      </c>
      <c r="C24" s="208" t="s">
        <v>2915</v>
      </c>
      <c r="D24" s="208" t="s">
        <v>735</v>
      </c>
      <c r="E24" s="208" t="s">
        <v>987</v>
      </c>
      <c r="F24" s="214" t="s">
        <v>2916</v>
      </c>
      <c r="G24" s="41" t="s">
        <v>865</v>
      </c>
      <c r="H24" s="25" t="s">
        <v>2917</v>
      </c>
      <c r="I24" s="345"/>
      <c r="J24" s="345"/>
      <c r="K24" s="25"/>
      <c r="L24" s="26"/>
      <c r="M24" s="26"/>
      <c r="N24" s="26"/>
      <c r="O24" s="254"/>
      <c r="P24" s="254"/>
      <c r="Q24" s="254"/>
      <c r="R24" s="254"/>
      <c r="S24" s="254"/>
      <c r="T24" s="254"/>
      <c r="U24" s="25"/>
      <c r="V24" s="33"/>
      <c r="W24" s="25">
        <v>93644</v>
      </c>
      <c r="X24" s="33" t="s">
        <v>2915</v>
      </c>
      <c r="Y24" s="31"/>
      <c r="Z24" s="33"/>
      <c r="AA24" s="25"/>
      <c r="AB24" s="345" t="s">
        <v>2918</v>
      </c>
      <c r="AC24" s="345"/>
      <c r="AD24" s="41"/>
      <c r="AE24" s="345" t="s">
        <v>2919</v>
      </c>
      <c r="AF24" s="345"/>
      <c r="AG24" s="345"/>
      <c r="AH24" s="345"/>
      <c r="AI24" s="345"/>
      <c r="AJ24" s="345"/>
      <c r="AK24" s="345">
        <v>200269</v>
      </c>
      <c r="AL24" s="31" t="s">
        <v>2920</v>
      </c>
      <c r="AM24" s="345"/>
      <c r="AN24" s="345" t="s">
        <v>2921</v>
      </c>
      <c r="AO24" s="345" t="s">
        <v>2922</v>
      </c>
      <c r="AP24" s="345"/>
      <c r="AQ24" s="345" t="s">
        <v>2923</v>
      </c>
      <c r="AR24" s="351">
        <v>20.260000000000002</v>
      </c>
      <c r="AS24" s="350" t="s">
        <v>2961</v>
      </c>
      <c r="AT24" s="350" t="s">
        <v>2962</v>
      </c>
      <c r="AU24" s="314">
        <v>10.904999999999999</v>
      </c>
      <c r="AV24" s="314">
        <v>7.4409999999999998</v>
      </c>
      <c r="AW24" s="314">
        <v>1.929</v>
      </c>
      <c r="AX24" s="203"/>
      <c r="AY24" s="203"/>
      <c r="AZ24" s="315">
        <v>0.67</v>
      </c>
      <c r="BA24" s="316">
        <v>7.6359999999999992</v>
      </c>
      <c r="BB24" s="316">
        <v>2.1259999999999999</v>
      </c>
      <c r="BC24" s="316">
        <v>11.132</v>
      </c>
      <c r="BD24" s="317">
        <v>0.10458240853703701</v>
      </c>
      <c r="BE24" s="315">
        <v>0.15</v>
      </c>
      <c r="BF24" s="318">
        <v>13</v>
      </c>
      <c r="BG24" s="318">
        <v>11.47</v>
      </c>
      <c r="BH24" s="318">
        <v>8.5</v>
      </c>
      <c r="BI24" s="318">
        <v>0.73346932870370363</v>
      </c>
      <c r="BJ24" s="322">
        <v>0.65</v>
      </c>
      <c r="BK24" s="322">
        <v>0.82000000000000006</v>
      </c>
      <c r="BL24" s="322">
        <v>5.57</v>
      </c>
      <c r="BM24" s="287" t="s">
        <v>764</v>
      </c>
      <c r="BN24" s="345">
        <v>6</v>
      </c>
      <c r="BO24" s="345">
        <v>12</v>
      </c>
      <c r="BP24" s="345">
        <v>5</v>
      </c>
      <c r="BQ24" s="192">
        <v>360</v>
      </c>
      <c r="BR24" s="320">
        <v>384.20000000000005</v>
      </c>
      <c r="BS24" s="192" t="s">
        <v>765</v>
      </c>
      <c r="BT24" s="289" t="s">
        <v>766</v>
      </c>
      <c r="BU24" s="81"/>
      <c r="BV24" s="81"/>
      <c r="BW24" s="35"/>
    </row>
    <row r="25" spans="1:77" s="1" customFormat="1" x14ac:dyDescent="0.25">
      <c r="A25" s="106">
        <v>42781</v>
      </c>
      <c r="B25" s="208" t="s">
        <v>14</v>
      </c>
      <c r="C25" s="208" t="s">
        <v>2924</v>
      </c>
      <c r="D25" s="208" t="s">
        <v>735</v>
      </c>
      <c r="E25" s="208" t="s">
        <v>2779</v>
      </c>
      <c r="F25" s="214" t="s">
        <v>2925</v>
      </c>
      <c r="G25" s="41" t="s">
        <v>908</v>
      </c>
      <c r="H25" s="25" t="s">
        <v>2926</v>
      </c>
      <c r="I25" s="345"/>
      <c r="J25" s="345"/>
      <c r="K25" s="25"/>
      <c r="L25" s="26"/>
      <c r="M25" s="26"/>
      <c r="N25" s="26"/>
      <c r="O25" s="254"/>
      <c r="P25" s="254"/>
      <c r="Q25" s="254"/>
      <c r="R25" s="254"/>
      <c r="S25" s="254"/>
      <c r="T25" s="254"/>
      <c r="U25" s="25"/>
      <c r="V25" s="33"/>
      <c r="W25" s="25">
        <v>86831</v>
      </c>
      <c r="X25" s="33" t="s">
        <v>2924</v>
      </c>
      <c r="Y25" s="31"/>
      <c r="Z25" s="33"/>
      <c r="AA25" s="25"/>
      <c r="AB25" s="345" t="s">
        <v>2927</v>
      </c>
      <c r="AC25" s="345" t="s">
        <v>2928</v>
      </c>
      <c r="AD25" s="41" t="s">
        <v>2929</v>
      </c>
      <c r="AE25" s="345"/>
      <c r="AF25" s="345" t="s">
        <v>2930</v>
      </c>
      <c r="AG25" s="345"/>
      <c r="AH25" s="345" t="s">
        <v>2931</v>
      </c>
      <c r="AI25" s="345"/>
      <c r="AJ25" s="345"/>
      <c r="AK25" s="345">
        <v>3831</v>
      </c>
      <c r="AL25" s="31"/>
      <c r="AM25" s="345"/>
      <c r="AN25" s="345">
        <v>59182</v>
      </c>
      <c r="AO25" s="345"/>
      <c r="AP25" s="345"/>
      <c r="AQ25" s="345">
        <v>33831</v>
      </c>
      <c r="AR25" s="351">
        <v>34.18</v>
      </c>
      <c r="AS25" s="350" t="s">
        <v>2963</v>
      </c>
      <c r="AT25" s="350" t="s">
        <v>2964</v>
      </c>
      <c r="AU25" s="314"/>
      <c r="AV25" s="314"/>
      <c r="AW25" s="314"/>
      <c r="AX25" s="203">
        <v>2.93</v>
      </c>
      <c r="AY25" s="203">
        <v>6.94</v>
      </c>
      <c r="AZ25" s="315">
        <v>0.61</v>
      </c>
      <c r="BA25" s="316">
        <v>3.8460000000000001</v>
      </c>
      <c r="BB25" s="316">
        <v>3.8479999999999999</v>
      </c>
      <c r="BC25" s="316">
        <v>8.0719999999999992</v>
      </c>
      <c r="BD25" s="317">
        <v>6.9132419777777773E-2</v>
      </c>
      <c r="BE25" s="315">
        <v>0.09</v>
      </c>
      <c r="BF25" s="318">
        <v>15.81</v>
      </c>
      <c r="BG25" s="318">
        <v>11.93</v>
      </c>
      <c r="BH25" s="318">
        <v>8.6199999999999992</v>
      </c>
      <c r="BI25" s="318">
        <v>0.94088347569444442</v>
      </c>
      <c r="BJ25" s="322">
        <v>0.87</v>
      </c>
      <c r="BK25" s="322">
        <v>0.7</v>
      </c>
      <c r="BL25" s="322">
        <v>9.2699999999999978</v>
      </c>
      <c r="BM25" s="287" t="s">
        <v>764</v>
      </c>
      <c r="BN25" s="345">
        <v>12</v>
      </c>
      <c r="BO25" s="345">
        <v>10</v>
      </c>
      <c r="BP25" s="345">
        <v>5</v>
      </c>
      <c r="BQ25" s="192">
        <v>600</v>
      </c>
      <c r="BR25" s="320">
        <v>513.49999999999989</v>
      </c>
      <c r="BS25" s="192" t="s">
        <v>769</v>
      </c>
      <c r="BT25" s="289" t="s">
        <v>780</v>
      </c>
      <c r="BU25" s="81"/>
      <c r="BV25" s="81"/>
      <c r="BW25" s="35"/>
    </row>
    <row r="26" spans="1:77" s="1" customFormat="1" x14ac:dyDescent="0.25">
      <c r="A26" s="106">
        <v>42781</v>
      </c>
      <c r="B26" s="208" t="s">
        <v>14</v>
      </c>
      <c r="C26" s="208" t="s">
        <v>2932</v>
      </c>
      <c r="D26" s="208" t="s">
        <v>735</v>
      </c>
      <c r="E26" s="208" t="s">
        <v>987</v>
      </c>
      <c r="F26" s="214" t="s">
        <v>2933</v>
      </c>
      <c r="G26" s="41" t="s">
        <v>1303</v>
      </c>
      <c r="H26" s="25" t="s">
        <v>2934</v>
      </c>
      <c r="I26" s="345"/>
      <c r="J26" s="345"/>
      <c r="K26" s="25"/>
      <c r="L26" s="26"/>
      <c r="M26" s="26"/>
      <c r="N26" s="26"/>
      <c r="O26" s="254"/>
      <c r="P26" s="254"/>
      <c r="Q26" s="254"/>
      <c r="R26" s="254"/>
      <c r="S26" s="254"/>
      <c r="T26" s="254"/>
      <c r="U26" s="25" t="s">
        <v>2935</v>
      </c>
      <c r="V26" s="33"/>
      <c r="W26" s="25">
        <v>93058</v>
      </c>
      <c r="X26" s="33"/>
      <c r="Y26" s="31"/>
      <c r="Z26" s="33"/>
      <c r="AA26" s="25"/>
      <c r="AB26" s="345" t="s">
        <v>2936</v>
      </c>
      <c r="AC26" s="345" t="s">
        <v>2937</v>
      </c>
      <c r="AD26" s="41"/>
      <c r="AE26" s="345"/>
      <c r="AF26" s="345"/>
      <c r="AG26" s="345"/>
      <c r="AH26" s="345" t="s">
        <v>2938</v>
      </c>
      <c r="AI26" s="345" t="s">
        <v>2932</v>
      </c>
      <c r="AJ26" s="345"/>
      <c r="AK26" s="345">
        <v>200058</v>
      </c>
      <c r="AL26" s="31"/>
      <c r="AM26" s="345"/>
      <c r="AN26" s="345" t="s">
        <v>2939</v>
      </c>
      <c r="AO26" s="345"/>
      <c r="AP26" s="345"/>
      <c r="AQ26" s="345" t="s">
        <v>2940</v>
      </c>
      <c r="AR26" s="351">
        <v>23.43</v>
      </c>
      <c r="AS26" s="350" t="s">
        <v>2965</v>
      </c>
      <c r="AT26" s="350" t="s">
        <v>2966</v>
      </c>
      <c r="AU26" s="314">
        <v>10.14</v>
      </c>
      <c r="AV26" s="314">
        <v>8.11</v>
      </c>
      <c r="AW26" s="314">
        <v>2.0099999999999998</v>
      </c>
      <c r="AX26" s="203"/>
      <c r="AY26" s="203"/>
      <c r="AZ26" s="315">
        <v>0.62</v>
      </c>
      <c r="BA26" s="316">
        <v>8.5359999999999996</v>
      </c>
      <c r="BB26" s="316">
        <v>2.4060000000000001</v>
      </c>
      <c r="BC26" s="316">
        <v>10.691999999999998</v>
      </c>
      <c r="BD26" s="317">
        <v>0.12707649899999998</v>
      </c>
      <c r="BE26" s="315">
        <v>0.2</v>
      </c>
      <c r="BF26" s="318">
        <v>15</v>
      </c>
      <c r="BG26" s="318">
        <v>11.25</v>
      </c>
      <c r="BH26" s="318">
        <v>9.3800000000000008</v>
      </c>
      <c r="BI26" s="318">
        <v>0.916015625</v>
      </c>
      <c r="BJ26" s="322">
        <v>0.78</v>
      </c>
      <c r="BK26" s="322">
        <v>0.82000000000000006</v>
      </c>
      <c r="BL26" s="322">
        <v>5.7</v>
      </c>
      <c r="BM26" s="287" t="s">
        <v>764</v>
      </c>
      <c r="BN26" s="345">
        <v>6</v>
      </c>
      <c r="BO26" s="345">
        <v>10</v>
      </c>
      <c r="BP26" s="345">
        <v>4</v>
      </c>
      <c r="BQ26" s="192">
        <v>240</v>
      </c>
      <c r="BR26" s="320">
        <v>278</v>
      </c>
      <c r="BS26" s="192" t="s">
        <v>769</v>
      </c>
      <c r="BT26" s="289" t="s">
        <v>766</v>
      </c>
      <c r="BU26" s="81"/>
      <c r="BV26" s="81"/>
      <c r="BW26" s="35"/>
    </row>
    <row r="27" spans="1:77" s="1" customFormat="1" x14ac:dyDescent="0.25">
      <c r="A27" s="106">
        <v>42781</v>
      </c>
      <c r="B27" s="208" t="s">
        <v>14</v>
      </c>
      <c r="C27" s="208" t="s">
        <v>2941</v>
      </c>
      <c r="D27" s="208" t="s">
        <v>735</v>
      </c>
      <c r="E27" s="208" t="s">
        <v>930</v>
      </c>
      <c r="F27" s="214" t="s">
        <v>2942</v>
      </c>
      <c r="G27" s="41" t="s">
        <v>720</v>
      </c>
      <c r="H27" s="25" t="s">
        <v>2943</v>
      </c>
      <c r="I27" s="345"/>
      <c r="J27" s="345"/>
      <c r="K27" s="25"/>
      <c r="L27" s="26"/>
      <c r="M27" s="26"/>
      <c r="N27" s="26"/>
      <c r="O27" s="254"/>
      <c r="P27" s="254"/>
      <c r="Q27" s="254"/>
      <c r="R27" s="254"/>
      <c r="S27" s="254"/>
      <c r="T27" s="254"/>
      <c r="U27" s="25"/>
      <c r="V27" s="33"/>
      <c r="W27" s="25"/>
      <c r="X27" s="33"/>
      <c r="Y27" s="31"/>
      <c r="Z27" s="33"/>
      <c r="AA27" s="25"/>
      <c r="AB27" s="345" t="s">
        <v>2944</v>
      </c>
      <c r="AC27" s="345"/>
      <c r="AD27" s="41"/>
      <c r="AE27" s="345" t="s">
        <v>2945</v>
      </c>
      <c r="AF27" s="345"/>
      <c r="AG27" s="345"/>
      <c r="AH27" s="345"/>
      <c r="AI27" s="345" t="s">
        <v>2941</v>
      </c>
      <c r="AJ27" s="345"/>
      <c r="AK27" s="345">
        <v>200427</v>
      </c>
      <c r="AL27" s="31" t="s">
        <v>2946</v>
      </c>
      <c r="AM27" s="345" t="s">
        <v>2947</v>
      </c>
      <c r="AN27" s="345" t="s">
        <v>2948</v>
      </c>
      <c r="AO27" s="345"/>
      <c r="AP27" s="345"/>
      <c r="AQ27" s="345" t="s">
        <v>2949</v>
      </c>
      <c r="AR27" s="351">
        <v>33.42</v>
      </c>
      <c r="AS27" s="350" t="s">
        <v>2967</v>
      </c>
      <c r="AT27" s="350" t="s">
        <v>2968</v>
      </c>
      <c r="AU27" s="314">
        <v>10.945</v>
      </c>
      <c r="AV27" s="314">
        <v>9.3109999999999999</v>
      </c>
      <c r="AW27" s="314">
        <v>2.3029999999999999</v>
      </c>
      <c r="AX27" s="203"/>
      <c r="AY27" s="203"/>
      <c r="AZ27" s="315">
        <v>0.71</v>
      </c>
      <c r="BA27" s="316">
        <v>9.6359999999999992</v>
      </c>
      <c r="BB27" s="316">
        <v>2.6360000000000001</v>
      </c>
      <c r="BC27" s="316">
        <v>11.251999999999999</v>
      </c>
      <c r="BD27" s="317">
        <v>0.1653972112222222</v>
      </c>
      <c r="BE27" s="315">
        <v>0.18</v>
      </c>
      <c r="BF27" s="318">
        <v>16</v>
      </c>
      <c r="BG27" s="318">
        <v>11.67</v>
      </c>
      <c r="BH27" s="318">
        <v>10.54</v>
      </c>
      <c r="BI27" s="318">
        <v>1.1389055555555554</v>
      </c>
      <c r="BJ27" s="322">
        <v>0.7</v>
      </c>
      <c r="BK27" s="322">
        <v>0.8899999999999999</v>
      </c>
      <c r="BL27" s="322">
        <v>6.04</v>
      </c>
      <c r="BM27" s="287" t="s">
        <v>764</v>
      </c>
      <c r="BN27" s="345">
        <v>6</v>
      </c>
      <c r="BO27" s="345">
        <v>10</v>
      </c>
      <c r="BP27" s="345">
        <v>4</v>
      </c>
      <c r="BQ27" s="192">
        <v>240</v>
      </c>
      <c r="BR27" s="320">
        <v>291.60000000000002</v>
      </c>
      <c r="BS27" s="192" t="s">
        <v>765</v>
      </c>
      <c r="BT27" s="289" t="s">
        <v>766</v>
      </c>
      <c r="BU27" s="81"/>
      <c r="BV27" s="81"/>
      <c r="BW27" s="35"/>
    </row>
    <row r="28" spans="1:77" s="1" customFormat="1" x14ac:dyDescent="0.25">
      <c r="A28" s="106">
        <v>42725</v>
      </c>
      <c r="B28" s="83" t="s">
        <v>14</v>
      </c>
      <c r="C28" s="83" t="s">
        <v>2730</v>
      </c>
      <c r="D28" s="83" t="s">
        <v>735</v>
      </c>
      <c r="E28" s="83" t="s">
        <v>930</v>
      </c>
      <c r="F28" s="214" t="s">
        <v>2731</v>
      </c>
      <c r="G28" s="41" t="s">
        <v>1863</v>
      </c>
      <c r="H28" s="96" t="s">
        <v>2732</v>
      </c>
      <c r="I28" s="333"/>
      <c r="J28" s="333"/>
      <c r="K28" s="25"/>
      <c r="L28" s="26"/>
      <c r="M28" s="26"/>
      <c r="N28" s="26"/>
      <c r="O28" s="254"/>
      <c r="P28" s="254"/>
      <c r="Q28" s="254"/>
      <c r="R28" s="254"/>
      <c r="S28" s="254"/>
      <c r="T28" s="254"/>
      <c r="U28" s="25"/>
      <c r="V28" s="33"/>
      <c r="W28" s="25">
        <v>94072</v>
      </c>
      <c r="X28" s="33"/>
      <c r="Y28" s="31"/>
      <c r="Z28" s="33"/>
      <c r="AA28" s="25"/>
      <c r="AB28" s="333"/>
      <c r="AC28" s="333"/>
      <c r="AD28" s="41"/>
      <c r="AE28" s="333"/>
      <c r="AF28" s="333"/>
      <c r="AG28" s="333"/>
      <c r="AH28" s="333" t="s">
        <v>2733</v>
      </c>
      <c r="AI28" s="333"/>
      <c r="AJ28" s="333"/>
      <c r="AK28" s="333"/>
      <c r="AL28" s="31"/>
      <c r="AM28" s="333"/>
      <c r="AN28" s="333"/>
      <c r="AO28" s="333"/>
      <c r="AP28" s="333"/>
      <c r="AQ28" s="333" t="s">
        <v>2734</v>
      </c>
      <c r="AR28" s="209">
        <v>13.13</v>
      </c>
      <c r="AS28" s="122" t="s">
        <v>2848</v>
      </c>
      <c r="AT28" s="122" t="s">
        <v>2849</v>
      </c>
      <c r="AU28" s="336">
        <v>10.55</v>
      </c>
      <c r="AV28" s="336">
        <v>7.44</v>
      </c>
      <c r="AW28" s="336">
        <v>1.18</v>
      </c>
      <c r="AX28" s="117"/>
      <c r="AY28" s="117"/>
      <c r="AZ28" s="88">
        <v>0.35</v>
      </c>
      <c r="BA28" s="326">
        <f>8.5+0.036</f>
        <v>8.5359999999999996</v>
      </c>
      <c r="BB28" s="326">
        <f>2.37+0.036</f>
        <v>2.4060000000000001</v>
      </c>
      <c r="BC28" s="326">
        <f>10.62+0.036+0.036</f>
        <v>10.691999999999998</v>
      </c>
      <c r="BD28" s="324">
        <f>(BC28*BB28*BA28)/1728</f>
        <v>0.12707649899999998</v>
      </c>
      <c r="BE28" s="88">
        <v>0.2</v>
      </c>
      <c r="BF28" s="323">
        <v>12.25</v>
      </c>
      <c r="BG28" s="323">
        <v>10.25</v>
      </c>
      <c r="BH28" s="323">
        <v>8.25</v>
      </c>
      <c r="BI28" s="324">
        <f>(BH28*BG28*BF28)/1728</f>
        <v>0.59947374131944442</v>
      </c>
      <c r="BJ28" s="91">
        <v>0.59</v>
      </c>
      <c r="BK28" s="91"/>
      <c r="BL28" s="91"/>
      <c r="BM28" s="124" t="s">
        <v>764</v>
      </c>
      <c r="BN28" s="82">
        <v>3</v>
      </c>
      <c r="BO28" s="82">
        <v>12</v>
      </c>
      <c r="BP28" s="82">
        <v>5</v>
      </c>
      <c r="BQ28" s="27">
        <f>BN28*BO28*BP28</f>
        <v>180</v>
      </c>
      <c r="BR28" s="325">
        <f>((((AZ28+BE28)*BN28)+BJ28)*BO28*BP28)+50</f>
        <v>184.4</v>
      </c>
      <c r="BS28" s="325" t="s">
        <v>769</v>
      </c>
      <c r="BT28" s="94" t="s">
        <v>766</v>
      </c>
      <c r="BU28" s="81"/>
      <c r="BV28" s="81"/>
      <c r="BW28" s="35"/>
    </row>
    <row r="29" spans="1:77" s="1" customFormat="1" x14ac:dyDescent="0.25">
      <c r="A29" s="106">
        <v>42725</v>
      </c>
      <c r="B29" s="83" t="s">
        <v>14</v>
      </c>
      <c r="C29" s="83" t="s">
        <v>2735</v>
      </c>
      <c r="D29" s="83" t="s">
        <v>735</v>
      </c>
      <c r="E29" s="83" t="s">
        <v>978</v>
      </c>
      <c r="F29" s="214" t="s">
        <v>2736</v>
      </c>
      <c r="G29" s="41" t="s">
        <v>963</v>
      </c>
      <c r="H29" s="96" t="s">
        <v>2737</v>
      </c>
      <c r="I29" s="333"/>
      <c r="J29" s="333"/>
      <c r="K29" s="25"/>
      <c r="L29" s="26"/>
      <c r="M29" s="26"/>
      <c r="N29" s="26"/>
      <c r="O29" s="254"/>
      <c r="P29" s="254"/>
      <c r="Q29" s="254"/>
      <c r="R29" s="254"/>
      <c r="S29" s="254"/>
      <c r="T29" s="254"/>
      <c r="U29" s="25"/>
      <c r="V29" s="33"/>
      <c r="W29" s="25"/>
      <c r="X29" s="33"/>
      <c r="Y29" s="31"/>
      <c r="Z29" s="33"/>
      <c r="AA29" s="25"/>
      <c r="AB29" s="333"/>
      <c r="AC29" s="333"/>
      <c r="AD29" s="41" t="s">
        <v>2738</v>
      </c>
      <c r="AE29" s="333"/>
      <c r="AF29" s="333" t="s">
        <v>2739</v>
      </c>
      <c r="AG29" s="333"/>
      <c r="AH29" s="333" t="s">
        <v>2740</v>
      </c>
      <c r="AI29" s="333"/>
      <c r="AJ29" s="333"/>
      <c r="AK29" s="333"/>
      <c r="AL29" s="31" t="s">
        <v>2741</v>
      </c>
      <c r="AM29" s="333"/>
      <c r="AN29" s="333"/>
      <c r="AO29" s="333"/>
      <c r="AP29" s="333" t="s">
        <v>2742</v>
      </c>
      <c r="AQ29" s="333" t="s">
        <v>2743</v>
      </c>
      <c r="AR29" s="209">
        <v>36.96</v>
      </c>
      <c r="AS29" s="122" t="s">
        <v>2850</v>
      </c>
      <c r="AT29" s="122" t="s">
        <v>2851</v>
      </c>
      <c r="AU29" s="117"/>
      <c r="AV29" s="117"/>
      <c r="AW29" s="117"/>
      <c r="AX29" s="336">
        <v>3.66</v>
      </c>
      <c r="AY29" s="336">
        <v>5.53</v>
      </c>
      <c r="AZ29" s="88">
        <v>1.1499999999999999</v>
      </c>
      <c r="BA29" s="326">
        <f>3.81+0.036</f>
        <v>3.8460000000000001</v>
      </c>
      <c r="BB29" s="326">
        <f>3.81+0.036</f>
        <v>3.8460000000000001</v>
      </c>
      <c r="BC29" s="326">
        <f>5.75+0.036+0.036</f>
        <v>5.8219999999999992</v>
      </c>
      <c r="BD29" s="324">
        <f>(BC29*BB29*BA29)/1728</f>
        <v>4.9836441291666665E-2</v>
      </c>
      <c r="BE29" s="88">
        <v>0.09</v>
      </c>
      <c r="BF29" s="323">
        <v>16</v>
      </c>
      <c r="BG29" s="323">
        <v>12</v>
      </c>
      <c r="BH29" s="323">
        <f>5.87+0.5</f>
        <v>6.37</v>
      </c>
      <c r="BI29" s="324">
        <f>(BH29*BG29*BF29)/1728</f>
        <v>0.70777777777777773</v>
      </c>
      <c r="BJ29" s="91">
        <v>0.76</v>
      </c>
      <c r="BK29" s="91"/>
      <c r="BL29" s="91"/>
      <c r="BM29" s="124" t="s">
        <v>764</v>
      </c>
      <c r="BN29" s="82">
        <v>12</v>
      </c>
      <c r="BO29" s="82">
        <v>10</v>
      </c>
      <c r="BP29" s="82">
        <v>7</v>
      </c>
      <c r="BQ29" s="27">
        <f>BN29*BO29*BP29</f>
        <v>840</v>
      </c>
      <c r="BR29" s="325">
        <f>((((AZ29+BE29)*BN29)+BJ29)*BO29*BP29)+50</f>
        <v>1144.7999999999997</v>
      </c>
      <c r="BS29" s="325" t="s">
        <v>769</v>
      </c>
      <c r="BT29" s="94" t="s">
        <v>780</v>
      </c>
      <c r="BU29" s="81"/>
      <c r="BV29" s="81"/>
      <c r="BW29" s="81"/>
    </row>
    <row r="30" spans="1:77" s="1" customFormat="1" x14ac:dyDescent="0.25">
      <c r="A30" s="106">
        <v>42725</v>
      </c>
      <c r="B30" s="83" t="s">
        <v>14</v>
      </c>
      <c r="C30" s="83" t="s">
        <v>2744</v>
      </c>
      <c r="D30" s="83" t="s">
        <v>735</v>
      </c>
      <c r="E30" s="83" t="s">
        <v>930</v>
      </c>
      <c r="F30" s="214" t="s">
        <v>2745</v>
      </c>
      <c r="G30" s="41" t="s">
        <v>738</v>
      </c>
      <c r="H30" s="96" t="s">
        <v>2746</v>
      </c>
      <c r="I30" s="333" t="s">
        <v>737</v>
      </c>
      <c r="J30" s="333">
        <v>94775933</v>
      </c>
      <c r="K30" s="25"/>
      <c r="L30" s="26"/>
      <c r="M30" s="26"/>
      <c r="N30" s="26"/>
      <c r="O30" s="254"/>
      <c r="P30" s="254"/>
      <c r="Q30" s="254"/>
      <c r="R30" s="254"/>
      <c r="S30" s="254"/>
      <c r="T30" s="254"/>
      <c r="U30" s="25"/>
      <c r="V30" s="33"/>
      <c r="W30" s="25"/>
      <c r="X30" s="33"/>
      <c r="Y30" s="31"/>
      <c r="Z30" s="33"/>
      <c r="AA30" s="25"/>
      <c r="AB30" s="333"/>
      <c r="AC30" s="333" t="s">
        <v>2747</v>
      </c>
      <c r="AD30" s="41"/>
      <c r="AE30" s="333"/>
      <c r="AF30" s="333"/>
      <c r="AG30" s="333"/>
      <c r="AH30" s="333"/>
      <c r="AI30" s="333"/>
      <c r="AJ30" s="333"/>
      <c r="AK30" s="333"/>
      <c r="AL30" s="31"/>
      <c r="AM30" s="333" t="s">
        <v>2748</v>
      </c>
      <c r="AN30" s="333" t="s">
        <v>2749</v>
      </c>
      <c r="AO30" s="333"/>
      <c r="AP30" s="333" t="s">
        <v>2749</v>
      </c>
      <c r="AQ30" s="333"/>
      <c r="AR30" s="209">
        <v>12.66</v>
      </c>
      <c r="AS30" s="122" t="s">
        <v>2852</v>
      </c>
      <c r="AT30" s="122" t="s">
        <v>2853</v>
      </c>
      <c r="AU30" s="336">
        <v>10.73</v>
      </c>
      <c r="AV30" s="336">
        <v>10.1</v>
      </c>
      <c r="AW30" s="336">
        <v>1.67</v>
      </c>
      <c r="AX30" s="117"/>
      <c r="AY30" s="117"/>
      <c r="AZ30" s="88">
        <v>0.63</v>
      </c>
      <c r="BA30" s="326">
        <f>10.31+0.036</f>
        <v>10.346</v>
      </c>
      <c r="BB30" s="326">
        <f>1.85+0.036</f>
        <v>1.8860000000000001</v>
      </c>
      <c r="BC30" s="326">
        <f>10.98+0.036+0.036</f>
        <v>11.052</v>
      </c>
      <c r="BD30" s="324">
        <f t="shared" ref="BD30:BD45" si="10">(BC30*BB30*BA30)/1728</f>
        <v>0.12479905608333333</v>
      </c>
      <c r="BE30" s="88">
        <v>0.25</v>
      </c>
      <c r="BF30" s="323">
        <f>11.42+0.25</f>
        <v>11.67</v>
      </c>
      <c r="BG30" s="323">
        <f>11.22+0.25</f>
        <v>11.47</v>
      </c>
      <c r="BH30" s="323">
        <f>10.78+0.5</f>
        <v>11.28</v>
      </c>
      <c r="BI30" s="324">
        <f t="shared" ref="BI30:BI45" si="11">(BH30*BG30*BF30)/1728</f>
        <v>0.87377504166666653</v>
      </c>
      <c r="BJ30" s="91">
        <v>0.2</v>
      </c>
      <c r="BK30" s="91"/>
      <c r="BL30" s="91"/>
      <c r="BM30" s="124" t="s">
        <v>764</v>
      </c>
      <c r="BN30" s="82">
        <v>6</v>
      </c>
      <c r="BO30" s="82">
        <v>12</v>
      </c>
      <c r="BP30" s="82">
        <v>3</v>
      </c>
      <c r="BQ30" s="27">
        <f t="shared" ref="BQ30:BQ45" si="12">BN30*BO30*BP30</f>
        <v>216</v>
      </c>
      <c r="BR30" s="325">
        <f t="shared" ref="BR30:BR45" si="13">((((AZ30+BE30)*BN30)+BJ30)*BO30*BP30)+50</f>
        <v>247.28000000000003</v>
      </c>
      <c r="BS30" s="325" t="s">
        <v>765</v>
      </c>
      <c r="BT30" s="94" t="s">
        <v>766</v>
      </c>
      <c r="BU30" s="81"/>
      <c r="BV30" s="81"/>
      <c r="BW30" s="81"/>
      <c r="BX30" s="81"/>
      <c r="BY30" s="81"/>
    </row>
    <row r="31" spans="1:77" s="1" customFormat="1" x14ac:dyDescent="0.25">
      <c r="A31" s="106">
        <v>42725</v>
      </c>
      <c r="B31" s="83" t="s">
        <v>14</v>
      </c>
      <c r="C31" s="83" t="s">
        <v>2750</v>
      </c>
      <c r="D31" s="83" t="s">
        <v>735</v>
      </c>
      <c r="E31" s="83" t="s">
        <v>987</v>
      </c>
      <c r="F31" s="214" t="s">
        <v>2751</v>
      </c>
      <c r="G31" s="41" t="s">
        <v>865</v>
      </c>
      <c r="H31" s="96" t="s">
        <v>2752</v>
      </c>
      <c r="I31" s="333"/>
      <c r="J31" s="333"/>
      <c r="K31" s="25"/>
      <c r="L31" s="26"/>
      <c r="M31" s="26"/>
      <c r="N31" s="26"/>
      <c r="O31" s="254"/>
      <c r="P31" s="254"/>
      <c r="Q31" s="254"/>
      <c r="R31" s="254"/>
      <c r="S31" s="254"/>
      <c r="T31" s="254"/>
      <c r="U31" s="25"/>
      <c r="V31" s="33"/>
      <c r="W31" s="25"/>
      <c r="X31" s="33"/>
      <c r="Y31" s="31"/>
      <c r="Z31" s="33"/>
      <c r="AA31" s="25"/>
      <c r="AB31" s="333"/>
      <c r="AC31" s="333" t="s">
        <v>2753</v>
      </c>
      <c r="AD31" s="41"/>
      <c r="AE31" s="333"/>
      <c r="AF31" s="333"/>
      <c r="AG31" s="333"/>
      <c r="AH31" s="333"/>
      <c r="AI31" s="333"/>
      <c r="AJ31" s="333"/>
      <c r="AK31" s="333">
        <v>200212</v>
      </c>
      <c r="AL31" s="31"/>
      <c r="AM31" s="333"/>
      <c r="AN31" s="333" t="s">
        <v>2754</v>
      </c>
      <c r="AO31" s="333"/>
      <c r="AP31" s="333" t="s">
        <v>2754</v>
      </c>
      <c r="AQ31" s="333" t="s">
        <v>2755</v>
      </c>
      <c r="AR31" s="209">
        <v>12.97</v>
      </c>
      <c r="AS31" s="122" t="s">
        <v>2854</v>
      </c>
      <c r="AT31" s="122" t="s">
        <v>2855</v>
      </c>
      <c r="AU31" s="336">
        <v>7.78</v>
      </c>
      <c r="AV31" s="336">
        <v>5.87</v>
      </c>
      <c r="AW31" s="336">
        <v>1.99</v>
      </c>
      <c r="AX31" s="117"/>
      <c r="AY31" s="117"/>
      <c r="AZ31" s="88">
        <v>0.47</v>
      </c>
      <c r="BA31" s="326">
        <f>7.75+0.036</f>
        <v>7.7859999999999996</v>
      </c>
      <c r="BB31" s="326">
        <f>2.5+0.036</f>
        <v>2.536</v>
      </c>
      <c r="BC31" s="326">
        <f>9.036+0.036</f>
        <v>9.0719999999999992</v>
      </c>
      <c r="BD31" s="324">
        <f t="shared" si="10"/>
        <v>0.10366280399999998</v>
      </c>
      <c r="BE31" s="88">
        <v>0.16</v>
      </c>
      <c r="BF31" s="323">
        <f>15.12+0.25</f>
        <v>15.37</v>
      </c>
      <c r="BG31" s="323">
        <v>9.75</v>
      </c>
      <c r="BH31" s="323">
        <v>9</v>
      </c>
      <c r="BI31" s="324">
        <f t="shared" si="11"/>
        <v>0.78050781250000001</v>
      </c>
      <c r="BJ31" s="327">
        <v>0.67</v>
      </c>
      <c r="BK31" s="327"/>
      <c r="BL31" s="327"/>
      <c r="BM31" s="124" t="s">
        <v>764</v>
      </c>
      <c r="BN31" s="82">
        <v>6</v>
      </c>
      <c r="BO31" s="82">
        <v>12</v>
      </c>
      <c r="BP31" s="82">
        <v>5</v>
      </c>
      <c r="BQ31" s="27">
        <f t="shared" si="12"/>
        <v>360</v>
      </c>
      <c r="BR31" s="325">
        <f t="shared" si="13"/>
        <v>317</v>
      </c>
      <c r="BS31" s="325" t="s">
        <v>769</v>
      </c>
      <c r="BT31" s="94" t="s">
        <v>766</v>
      </c>
      <c r="BU31" s="81"/>
      <c r="BV31" s="81"/>
      <c r="BW31" s="35"/>
    </row>
    <row r="32" spans="1:77" s="1" customFormat="1" x14ac:dyDescent="0.25">
      <c r="A32" s="106">
        <v>42725</v>
      </c>
      <c r="B32" s="83" t="s">
        <v>14</v>
      </c>
      <c r="C32" s="83" t="s">
        <v>2756</v>
      </c>
      <c r="D32" s="83" t="s">
        <v>735</v>
      </c>
      <c r="E32" s="83" t="s">
        <v>987</v>
      </c>
      <c r="F32" s="214" t="s">
        <v>2757</v>
      </c>
      <c r="G32" s="41" t="s">
        <v>1257</v>
      </c>
      <c r="H32" s="96" t="s">
        <v>2758</v>
      </c>
      <c r="I32" s="333"/>
      <c r="J32" s="333"/>
      <c r="K32" s="25"/>
      <c r="L32" s="26"/>
      <c r="M32" s="26"/>
      <c r="N32" s="26"/>
      <c r="O32" s="254"/>
      <c r="P32" s="254"/>
      <c r="Q32" s="254"/>
      <c r="R32" s="254"/>
      <c r="S32" s="254"/>
      <c r="T32" s="254"/>
      <c r="U32" s="25" t="s">
        <v>2759</v>
      </c>
      <c r="V32" s="33"/>
      <c r="W32" s="25">
        <v>83480</v>
      </c>
      <c r="X32" s="33"/>
      <c r="Y32" s="31"/>
      <c r="Z32" s="33"/>
      <c r="AA32" s="25"/>
      <c r="AB32" s="333" t="s">
        <v>2760</v>
      </c>
      <c r="AC32" s="333" t="s">
        <v>2761</v>
      </c>
      <c r="AD32" s="41"/>
      <c r="AE32" s="333"/>
      <c r="AF32" s="333"/>
      <c r="AG32" s="333"/>
      <c r="AH32" s="333"/>
      <c r="AI32" s="333"/>
      <c r="AJ32" s="333"/>
      <c r="AK32" s="333">
        <v>9480</v>
      </c>
      <c r="AL32" s="31" t="s">
        <v>2762</v>
      </c>
      <c r="AM32" s="333" t="s">
        <v>2763</v>
      </c>
      <c r="AN32" s="333" t="s">
        <v>2764</v>
      </c>
      <c r="AO32" s="333"/>
      <c r="AP32" s="333" t="s">
        <v>2765</v>
      </c>
      <c r="AQ32" s="333">
        <v>49480</v>
      </c>
      <c r="AR32" s="209">
        <v>13.12</v>
      </c>
      <c r="AS32" s="122" t="s">
        <v>2856</v>
      </c>
      <c r="AT32" s="122" t="s">
        <v>2857</v>
      </c>
      <c r="AU32" s="336">
        <v>10.14</v>
      </c>
      <c r="AV32" s="336">
        <v>6.4</v>
      </c>
      <c r="AW32" s="336">
        <v>2.08</v>
      </c>
      <c r="AX32" s="117"/>
      <c r="AY32" s="117"/>
      <c r="AZ32" s="88">
        <v>0.48</v>
      </c>
      <c r="BA32" s="326">
        <f>6.85+0.036</f>
        <v>6.8859999999999992</v>
      </c>
      <c r="BB32" s="326">
        <f>2.12+0.036</f>
        <v>2.1560000000000001</v>
      </c>
      <c r="BC32" s="326">
        <f>10.16+0.036+0.036</f>
        <v>10.231999999999999</v>
      </c>
      <c r="BD32" s="324">
        <f t="shared" si="10"/>
        <v>8.7908843814814813E-2</v>
      </c>
      <c r="BE32" s="88">
        <v>0.2</v>
      </c>
      <c r="BF32" s="323">
        <f>11.81+0.25</f>
        <v>12.06</v>
      </c>
      <c r="BG32" s="323">
        <f>11.42+0.25</f>
        <v>11.67</v>
      </c>
      <c r="BH32" s="323">
        <f>9.45+0.5</f>
        <v>9.9499999999999993</v>
      </c>
      <c r="BI32" s="324">
        <f t="shared" si="11"/>
        <v>0.81039640624999987</v>
      </c>
      <c r="BJ32" s="91">
        <v>0.2</v>
      </c>
      <c r="BK32" s="91"/>
      <c r="BL32" s="91"/>
      <c r="BM32" s="124" t="s">
        <v>764</v>
      </c>
      <c r="BN32" s="82">
        <v>6</v>
      </c>
      <c r="BO32" s="82">
        <v>12</v>
      </c>
      <c r="BP32" s="82">
        <v>4</v>
      </c>
      <c r="BQ32" s="27">
        <f t="shared" si="12"/>
        <v>288</v>
      </c>
      <c r="BR32" s="325">
        <f t="shared" si="13"/>
        <v>255.44</v>
      </c>
      <c r="BS32" s="325" t="s">
        <v>779</v>
      </c>
      <c r="BT32" s="94" t="s">
        <v>766</v>
      </c>
      <c r="BU32" s="81"/>
      <c r="BV32" s="81"/>
      <c r="BW32" s="35"/>
    </row>
    <row r="33" spans="1:77" s="1" customFormat="1" x14ac:dyDescent="0.25">
      <c r="A33" s="106">
        <v>42725</v>
      </c>
      <c r="B33" s="83" t="s">
        <v>14</v>
      </c>
      <c r="C33" s="83" t="s">
        <v>2766</v>
      </c>
      <c r="D33" s="83" t="s">
        <v>735</v>
      </c>
      <c r="E33" s="83" t="s">
        <v>2767</v>
      </c>
      <c r="F33" s="214" t="s">
        <v>2768</v>
      </c>
      <c r="G33" s="41" t="s">
        <v>737</v>
      </c>
      <c r="H33" s="96">
        <v>23327845</v>
      </c>
      <c r="I33" s="333"/>
      <c r="J33" s="333"/>
      <c r="K33" s="25"/>
      <c r="L33" s="26"/>
      <c r="M33" s="26"/>
      <c r="N33" s="26"/>
      <c r="O33" s="254"/>
      <c r="P33" s="254"/>
      <c r="Q33" s="254"/>
      <c r="R33" s="254"/>
      <c r="S33" s="254"/>
      <c r="T33" s="254"/>
      <c r="U33" s="25" t="s">
        <v>2769</v>
      </c>
      <c r="V33" s="33"/>
      <c r="W33" s="25"/>
      <c r="X33" s="33" t="s">
        <v>2770</v>
      </c>
      <c r="Y33" s="31"/>
      <c r="Z33" s="33"/>
      <c r="AA33" s="25"/>
      <c r="AB33" s="333"/>
      <c r="AC33" s="333"/>
      <c r="AD33" s="41"/>
      <c r="AE33" s="333"/>
      <c r="AF33" s="333"/>
      <c r="AG33" s="333"/>
      <c r="AH33" s="333"/>
      <c r="AI33" s="333"/>
      <c r="AJ33" s="333"/>
      <c r="AK33" s="333"/>
      <c r="AL33" s="31"/>
      <c r="AM33" s="333"/>
      <c r="AN33" s="333" t="s">
        <v>2771</v>
      </c>
      <c r="AO33" s="333"/>
      <c r="AP33" s="333"/>
      <c r="AQ33" s="333"/>
      <c r="AR33" s="209">
        <v>57.6</v>
      </c>
      <c r="AS33" s="122" t="s">
        <v>2858</v>
      </c>
      <c r="AT33" s="122" t="s">
        <v>2859</v>
      </c>
      <c r="AU33" s="117"/>
      <c r="AV33" s="117"/>
      <c r="AW33" s="117"/>
      <c r="AX33" s="336">
        <v>5.4</v>
      </c>
      <c r="AY33" s="336">
        <v>13.15</v>
      </c>
      <c r="AZ33" s="88">
        <v>1.29</v>
      </c>
      <c r="BA33" s="326">
        <f>5.75+0.036</f>
        <v>5.7859999999999996</v>
      </c>
      <c r="BB33" s="326">
        <f>5.75+0.036</f>
        <v>5.7859999999999996</v>
      </c>
      <c r="BC33" s="326">
        <f>13.5+0.036+0.036</f>
        <v>13.571999999999999</v>
      </c>
      <c r="BD33" s="324">
        <f t="shared" si="10"/>
        <v>0.26294018941666658</v>
      </c>
      <c r="BE33" s="88">
        <v>0.25</v>
      </c>
      <c r="BF33" s="323">
        <v>18</v>
      </c>
      <c r="BG33" s="323">
        <v>13.75</v>
      </c>
      <c r="BH33" s="323">
        <v>14</v>
      </c>
      <c r="BI33" s="324">
        <f t="shared" si="11"/>
        <v>2.0052083333333335</v>
      </c>
      <c r="BJ33" s="327">
        <v>1.26</v>
      </c>
      <c r="BK33" s="327"/>
      <c r="BL33" s="327"/>
      <c r="BM33" s="124" t="s">
        <v>764</v>
      </c>
      <c r="BN33" s="82">
        <v>6</v>
      </c>
      <c r="BO33" s="82">
        <v>6</v>
      </c>
      <c r="BP33" s="82">
        <v>3</v>
      </c>
      <c r="BQ33" s="27">
        <f t="shared" si="12"/>
        <v>108</v>
      </c>
      <c r="BR33" s="325">
        <f t="shared" si="13"/>
        <v>239</v>
      </c>
      <c r="BS33" s="325" t="s">
        <v>886</v>
      </c>
      <c r="BT33" s="94" t="s">
        <v>766</v>
      </c>
      <c r="BU33" s="81"/>
      <c r="BV33" s="81"/>
      <c r="BW33" s="35"/>
    </row>
    <row r="34" spans="1:77" s="1" customFormat="1" x14ac:dyDescent="0.25">
      <c r="A34" s="106">
        <v>42725</v>
      </c>
      <c r="B34" s="83" t="s">
        <v>14</v>
      </c>
      <c r="C34" s="83" t="s">
        <v>2772</v>
      </c>
      <c r="D34" s="83" t="s">
        <v>735</v>
      </c>
      <c r="E34" s="83" t="s">
        <v>930</v>
      </c>
      <c r="F34" s="214" t="s">
        <v>2773</v>
      </c>
      <c r="G34" s="41" t="s">
        <v>720</v>
      </c>
      <c r="H34" s="96" t="s">
        <v>2774</v>
      </c>
      <c r="I34" s="333"/>
      <c r="J34" s="333"/>
      <c r="K34" s="25"/>
      <c r="L34" s="26"/>
      <c r="M34" s="26"/>
      <c r="N34" s="26"/>
      <c r="O34" s="254"/>
      <c r="P34" s="254"/>
      <c r="Q34" s="254"/>
      <c r="R34" s="254"/>
      <c r="S34" s="254"/>
      <c r="T34" s="254"/>
      <c r="U34" s="25"/>
      <c r="V34" s="33"/>
      <c r="W34" s="25">
        <v>93645</v>
      </c>
      <c r="X34" s="33"/>
      <c r="Y34" s="31"/>
      <c r="Z34" s="33"/>
      <c r="AA34" s="25"/>
      <c r="AB34" s="333"/>
      <c r="AC34" s="333"/>
      <c r="AD34" s="41"/>
      <c r="AE34" s="333"/>
      <c r="AF34" s="333"/>
      <c r="AG34" s="333"/>
      <c r="AH34" s="333"/>
      <c r="AI34" s="333"/>
      <c r="AJ34" s="333" t="s">
        <v>2775</v>
      </c>
      <c r="AK34" s="333"/>
      <c r="AL34" s="31" t="s">
        <v>2776</v>
      </c>
      <c r="AM34" s="333"/>
      <c r="AN34" s="333"/>
      <c r="AO34" s="333"/>
      <c r="AP34" s="333" t="s">
        <v>2777</v>
      </c>
      <c r="AQ34" s="333"/>
      <c r="AR34" s="209">
        <v>12.96</v>
      </c>
      <c r="AS34" s="122" t="s">
        <v>2860</v>
      </c>
      <c r="AT34" s="122" t="s">
        <v>2861</v>
      </c>
      <c r="AU34" s="336">
        <v>11.18</v>
      </c>
      <c r="AV34" s="336">
        <v>10.199999999999999</v>
      </c>
      <c r="AW34" s="336">
        <v>2.21</v>
      </c>
      <c r="AX34" s="117"/>
      <c r="AY34" s="117"/>
      <c r="AZ34" s="88">
        <v>0.72</v>
      </c>
      <c r="BA34" s="326">
        <f>11.25+0.018+0.018</f>
        <v>11.286000000000001</v>
      </c>
      <c r="BB34" s="326">
        <f>2.68+0.018+0.018</f>
        <v>2.7159999999999997</v>
      </c>
      <c r="BC34" s="326">
        <f>11.25+(4*0.018)</f>
        <v>11.321999999999999</v>
      </c>
      <c r="BD34" s="324">
        <f t="shared" si="10"/>
        <v>0.20083954274999999</v>
      </c>
      <c r="BE34" s="88">
        <v>0.28000000000000003</v>
      </c>
      <c r="BF34" s="323">
        <f>16.62+0.25</f>
        <v>16.87</v>
      </c>
      <c r="BG34" s="323">
        <v>11.75</v>
      </c>
      <c r="BH34" s="323">
        <v>12</v>
      </c>
      <c r="BI34" s="324">
        <f t="shared" si="11"/>
        <v>1.376545138888889</v>
      </c>
      <c r="BJ34" s="327">
        <v>0.97</v>
      </c>
      <c r="BK34" s="327"/>
      <c r="BL34" s="327"/>
      <c r="BM34" s="124" t="s">
        <v>764</v>
      </c>
      <c r="BN34" s="82">
        <v>6</v>
      </c>
      <c r="BO34" s="82">
        <v>8</v>
      </c>
      <c r="BP34" s="82">
        <v>3</v>
      </c>
      <c r="BQ34" s="27">
        <f t="shared" si="12"/>
        <v>144</v>
      </c>
      <c r="BR34" s="325">
        <f t="shared" si="13"/>
        <v>217.28</v>
      </c>
      <c r="BS34" s="325" t="s">
        <v>769</v>
      </c>
      <c r="BT34" s="94" t="s">
        <v>766</v>
      </c>
      <c r="BU34" s="81"/>
      <c r="BV34" s="81"/>
      <c r="BW34" s="35"/>
    </row>
    <row r="35" spans="1:77" s="1" customFormat="1" x14ac:dyDescent="0.25">
      <c r="A35" s="106">
        <v>42725</v>
      </c>
      <c r="B35" s="83" t="s">
        <v>14</v>
      </c>
      <c r="C35" s="83" t="s">
        <v>2778</v>
      </c>
      <c r="D35" s="83" t="s">
        <v>735</v>
      </c>
      <c r="E35" s="83" t="s">
        <v>2779</v>
      </c>
      <c r="F35" s="214" t="s">
        <v>2780</v>
      </c>
      <c r="G35" s="41" t="s">
        <v>754</v>
      </c>
      <c r="H35" s="96">
        <v>13327811227</v>
      </c>
      <c r="I35" s="333"/>
      <c r="J35" s="333"/>
      <c r="K35" s="25"/>
      <c r="L35" s="26"/>
      <c r="M35" s="26"/>
      <c r="N35" s="26"/>
      <c r="O35" s="254"/>
      <c r="P35" s="254"/>
      <c r="Q35" s="254"/>
      <c r="R35" s="254"/>
      <c r="S35" s="254"/>
      <c r="T35" s="254"/>
      <c r="U35" s="25"/>
      <c r="V35" s="33"/>
      <c r="W35" s="25"/>
      <c r="X35" s="33"/>
      <c r="Y35" s="31"/>
      <c r="Z35" s="33"/>
      <c r="AA35" s="25"/>
      <c r="AB35" s="333"/>
      <c r="AC35" s="333"/>
      <c r="AD35" s="41"/>
      <c r="AE35" s="333"/>
      <c r="AF35" s="333" t="s">
        <v>2781</v>
      </c>
      <c r="AG35" s="333"/>
      <c r="AH35" s="333" t="s">
        <v>2782</v>
      </c>
      <c r="AI35" s="333"/>
      <c r="AJ35" s="333"/>
      <c r="AK35" s="333"/>
      <c r="AL35" s="31"/>
      <c r="AM35" s="333"/>
      <c r="AN35" s="333"/>
      <c r="AO35" s="333"/>
      <c r="AP35" s="333"/>
      <c r="AQ35" s="333"/>
      <c r="AR35" s="209">
        <v>35.840000000000003</v>
      </c>
      <c r="AS35" s="122" t="s">
        <v>2862</v>
      </c>
      <c r="AT35" s="122" t="s">
        <v>2863</v>
      </c>
      <c r="AU35" s="117"/>
      <c r="AV35" s="117"/>
      <c r="AW35" s="117"/>
      <c r="AX35" s="336">
        <v>9.843</v>
      </c>
      <c r="AY35" s="336">
        <v>2.6179999999999999</v>
      </c>
      <c r="AZ35" s="88">
        <v>0.56000000000000005</v>
      </c>
      <c r="BA35" s="326">
        <f>3.81+0.036</f>
        <v>3.8460000000000001</v>
      </c>
      <c r="BB35" s="326">
        <f>3.81+0.036</f>
        <v>3.8460000000000001</v>
      </c>
      <c r="BC35" s="326">
        <f>11.43+0.036+0.036</f>
        <v>11.501999999999999</v>
      </c>
      <c r="BD35" s="324">
        <f t="shared" si="10"/>
        <v>9.845735962499999E-2</v>
      </c>
      <c r="BE35" s="88">
        <v>0.15</v>
      </c>
      <c r="BF35" s="323">
        <f>15.87+0.25</f>
        <v>16.119999999999997</v>
      </c>
      <c r="BG35" s="323">
        <v>12.25</v>
      </c>
      <c r="BH35" s="323">
        <v>12.5</v>
      </c>
      <c r="BI35" s="324">
        <f t="shared" si="11"/>
        <v>1.4284577546296293</v>
      </c>
      <c r="BJ35" s="91">
        <v>1</v>
      </c>
      <c r="BK35" s="91"/>
      <c r="BL35" s="91"/>
      <c r="BM35" s="124" t="s">
        <v>764</v>
      </c>
      <c r="BN35" s="82">
        <v>12</v>
      </c>
      <c r="BO35" s="82">
        <v>8</v>
      </c>
      <c r="BP35" s="82">
        <v>3</v>
      </c>
      <c r="BQ35" s="27">
        <f t="shared" si="12"/>
        <v>288</v>
      </c>
      <c r="BR35" s="325">
        <f t="shared" si="13"/>
        <v>278.48</v>
      </c>
      <c r="BS35" s="325" t="s">
        <v>779</v>
      </c>
      <c r="BT35" s="94" t="s">
        <v>780</v>
      </c>
      <c r="BU35" s="81"/>
      <c r="BV35" s="81"/>
      <c r="BW35" s="35"/>
    </row>
    <row r="36" spans="1:77" s="1" customFormat="1" ht="30" x14ac:dyDescent="0.25">
      <c r="A36" s="106">
        <v>42725</v>
      </c>
      <c r="B36" s="83" t="s">
        <v>14</v>
      </c>
      <c r="C36" s="83" t="s">
        <v>2783</v>
      </c>
      <c r="D36" s="83" t="s">
        <v>735</v>
      </c>
      <c r="E36" s="83" t="s">
        <v>2779</v>
      </c>
      <c r="F36" s="214" t="s">
        <v>2784</v>
      </c>
      <c r="G36" s="41" t="s">
        <v>2785</v>
      </c>
      <c r="H36" s="96">
        <v>6420904852</v>
      </c>
      <c r="I36" s="333"/>
      <c r="J36" s="333"/>
      <c r="K36" s="25"/>
      <c r="L36" s="26"/>
      <c r="M36" s="26"/>
      <c r="N36" s="26"/>
      <c r="O36" s="254"/>
      <c r="P36" s="254"/>
      <c r="Q36" s="254"/>
      <c r="R36" s="254"/>
      <c r="S36" s="254"/>
      <c r="T36" s="254"/>
      <c r="U36" s="25" t="s">
        <v>2885</v>
      </c>
      <c r="V36" s="33"/>
      <c r="W36" s="25"/>
      <c r="X36" s="33"/>
      <c r="Y36" s="31"/>
      <c r="Z36" s="33"/>
      <c r="AA36" s="25" t="s">
        <v>2886</v>
      </c>
      <c r="AB36" s="337"/>
      <c r="AC36" s="337"/>
      <c r="AD36" s="41"/>
      <c r="AE36" s="337"/>
      <c r="AF36" s="337"/>
      <c r="AG36" s="337"/>
      <c r="AH36" s="337" t="s">
        <v>2786</v>
      </c>
      <c r="AI36" s="337"/>
      <c r="AJ36" s="337"/>
      <c r="AK36" s="337"/>
      <c r="AL36" s="31"/>
      <c r="AM36" s="337"/>
      <c r="AN36" s="337"/>
      <c r="AO36" s="337"/>
      <c r="AP36" s="337"/>
      <c r="AQ36" s="337">
        <v>33251</v>
      </c>
      <c r="AR36" s="209">
        <v>49.99</v>
      </c>
      <c r="AS36" s="122" t="s">
        <v>2864</v>
      </c>
      <c r="AT36" s="122" t="s">
        <v>2865</v>
      </c>
      <c r="AU36" s="117"/>
      <c r="AV36" s="117"/>
      <c r="AW36" s="117"/>
      <c r="AX36" s="336">
        <v>3.6019999999999999</v>
      </c>
      <c r="AY36" s="336">
        <v>4.6260000000000003</v>
      </c>
      <c r="AZ36" s="88">
        <v>0.73</v>
      </c>
      <c r="BA36" s="326">
        <f>3.812+0.018+0.018</f>
        <v>3.8479999999999994</v>
      </c>
      <c r="BB36" s="326">
        <f>3.812+0.018+0.018</f>
        <v>3.8479999999999994</v>
      </c>
      <c r="BC36" s="326">
        <f>5.375+(4*0.018)</f>
        <v>5.4470000000000001</v>
      </c>
      <c r="BD36" s="324">
        <f t="shared" si="10"/>
        <v>4.6674939518518505E-2</v>
      </c>
      <c r="BE36" s="88">
        <v>0.08</v>
      </c>
      <c r="BF36" s="323">
        <f>15.56+0.25</f>
        <v>15.81</v>
      </c>
      <c r="BG36" s="323">
        <f>11.68+0.25</f>
        <v>11.93</v>
      </c>
      <c r="BH36" s="323">
        <v>6</v>
      </c>
      <c r="BI36" s="324">
        <f t="shared" si="11"/>
        <v>0.65490729166666672</v>
      </c>
      <c r="BJ36" s="327">
        <v>0.75</v>
      </c>
      <c r="BK36" s="327"/>
      <c r="BL36" s="327"/>
      <c r="BM36" s="124" t="s">
        <v>764</v>
      </c>
      <c r="BN36" s="82">
        <v>12</v>
      </c>
      <c r="BO36" s="82">
        <v>10</v>
      </c>
      <c r="BP36" s="82">
        <v>7</v>
      </c>
      <c r="BQ36" s="27">
        <f t="shared" si="12"/>
        <v>840</v>
      </c>
      <c r="BR36" s="325">
        <f t="shared" si="13"/>
        <v>782.89999999999986</v>
      </c>
      <c r="BS36" s="325" t="s">
        <v>779</v>
      </c>
      <c r="BT36" s="94" t="s">
        <v>780</v>
      </c>
      <c r="BU36" s="81"/>
      <c r="BV36" s="81"/>
      <c r="BW36" s="35"/>
    </row>
    <row r="37" spans="1:77" s="1" customFormat="1" x14ac:dyDescent="0.25">
      <c r="A37" s="106">
        <v>42725</v>
      </c>
      <c r="B37" s="83" t="s">
        <v>14</v>
      </c>
      <c r="C37" s="83" t="s">
        <v>2787</v>
      </c>
      <c r="D37" s="83" t="s">
        <v>735</v>
      </c>
      <c r="E37" s="83" t="s">
        <v>65</v>
      </c>
      <c r="F37" s="214" t="s">
        <v>2788</v>
      </c>
      <c r="G37" s="41" t="s">
        <v>720</v>
      </c>
      <c r="H37" s="96" t="s">
        <v>2789</v>
      </c>
      <c r="I37" s="333"/>
      <c r="J37" s="333"/>
      <c r="K37" s="25"/>
      <c r="L37" s="26"/>
      <c r="M37" s="26"/>
      <c r="N37" s="26"/>
      <c r="O37" s="254"/>
      <c r="P37" s="254"/>
      <c r="Q37" s="254"/>
      <c r="R37" s="254"/>
      <c r="S37" s="254"/>
      <c r="T37" s="254"/>
      <c r="U37" s="25" t="s">
        <v>2790</v>
      </c>
      <c r="V37" s="33"/>
      <c r="W37" s="25"/>
      <c r="X37" s="33"/>
      <c r="Y37" s="31"/>
      <c r="Z37" s="33"/>
      <c r="AA37" s="25"/>
      <c r="AB37" s="333"/>
      <c r="AC37" s="333"/>
      <c r="AD37" s="41"/>
      <c r="AE37" s="333"/>
      <c r="AF37" s="333"/>
      <c r="AG37" s="333"/>
      <c r="AH37" s="333"/>
      <c r="AI37" s="333"/>
      <c r="AJ37" s="333" t="s">
        <v>2791</v>
      </c>
      <c r="AK37" s="333"/>
      <c r="AL37" s="31"/>
      <c r="AM37" s="333"/>
      <c r="AN37" s="333"/>
      <c r="AO37" s="333"/>
      <c r="AP37" s="333"/>
      <c r="AQ37" s="333"/>
      <c r="AR37" s="209">
        <v>51.84</v>
      </c>
      <c r="AS37" s="122" t="s">
        <v>2866</v>
      </c>
      <c r="AT37" s="122" t="s">
        <v>2867</v>
      </c>
      <c r="AU37" s="117"/>
      <c r="AV37" s="117"/>
      <c r="AW37" s="117"/>
      <c r="AX37" s="336">
        <v>4.8499999999999996</v>
      </c>
      <c r="AY37" s="336">
        <v>5.26</v>
      </c>
      <c r="AZ37" s="88">
        <v>0.5</v>
      </c>
      <c r="BA37" s="326">
        <f t="shared" ref="BA37:BB38" si="14">4.62+0.036</f>
        <v>4.6559999999999997</v>
      </c>
      <c r="BB37" s="326">
        <f t="shared" si="14"/>
        <v>4.6559999999999997</v>
      </c>
      <c r="BC37" s="326">
        <f t="shared" ref="BC37:BC38" si="15">6.072</f>
        <v>6.0720000000000001</v>
      </c>
      <c r="BD37" s="324">
        <f t="shared" si="10"/>
        <v>7.6175263999999993E-2</v>
      </c>
      <c r="BE37" s="88">
        <v>0.12</v>
      </c>
      <c r="BF37" s="323">
        <v>19.5</v>
      </c>
      <c r="BG37" s="323">
        <f t="shared" ref="BG37:BG38" si="16">14.37+0.25</f>
        <v>14.62</v>
      </c>
      <c r="BH37" s="323">
        <v>6.62</v>
      </c>
      <c r="BI37" s="324">
        <f t="shared" si="11"/>
        <v>1.0921850694444444</v>
      </c>
      <c r="BJ37" s="91">
        <v>1.1100000000000001</v>
      </c>
      <c r="BK37" s="91"/>
      <c r="BL37" s="91"/>
      <c r="BM37" s="124" t="s">
        <v>764</v>
      </c>
      <c r="BN37" s="82">
        <v>12</v>
      </c>
      <c r="BO37" s="82">
        <v>6</v>
      </c>
      <c r="BP37" s="82">
        <v>6</v>
      </c>
      <c r="BQ37" s="27">
        <f t="shared" si="12"/>
        <v>432</v>
      </c>
      <c r="BR37" s="325">
        <f t="shared" si="13"/>
        <v>357.79999999999995</v>
      </c>
      <c r="BS37" s="325" t="s">
        <v>2868</v>
      </c>
      <c r="BT37" s="94" t="s">
        <v>780</v>
      </c>
      <c r="BU37" s="81"/>
      <c r="BV37" s="81"/>
      <c r="BW37" s="35"/>
    </row>
    <row r="38" spans="1:77" s="1" customFormat="1" x14ac:dyDescent="0.25">
      <c r="A38" s="106">
        <v>42725</v>
      </c>
      <c r="B38" s="83" t="s">
        <v>14</v>
      </c>
      <c r="C38" s="83" t="s">
        <v>2792</v>
      </c>
      <c r="D38" s="83" t="s">
        <v>735</v>
      </c>
      <c r="E38" s="83" t="s">
        <v>65</v>
      </c>
      <c r="F38" s="214" t="s">
        <v>2793</v>
      </c>
      <c r="G38" s="41" t="s">
        <v>2794</v>
      </c>
      <c r="H38" s="96" t="s">
        <v>2795</v>
      </c>
      <c r="I38" s="333"/>
      <c r="J38" s="333"/>
      <c r="K38" s="25"/>
      <c r="L38" s="26"/>
      <c r="M38" s="26"/>
      <c r="N38" s="26"/>
      <c r="O38" s="254"/>
      <c r="P38" s="254"/>
      <c r="Q38" s="254"/>
      <c r="R38" s="254"/>
      <c r="S38" s="254"/>
      <c r="T38" s="254"/>
      <c r="U38" s="25" t="s">
        <v>2796</v>
      </c>
      <c r="V38" s="33"/>
      <c r="W38" s="25">
        <v>96112</v>
      </c>
      <c r="X38" s="33"/>
      <c r="Y38" s="31"/>
      <c r="Z38" s="33"/>
      <c r="AA38" s="25"/>
      <c r="AB38" s="333"/>
      <c r="AC38" s="333" t="s">
        <v>2797</v>
      </c>
      <c r="AD38" s="41"/>
      <c r="AE38" s="333"/>
      <c r="AF38" s="333"/>
      <c r="AG38" s="333"/>
      <c r="AH38" s="333"/>
      <c r="AI38" s="333"/>
      <c r="AJ38" s="333"/>
      <c r="AK38" s="333">
        <v>600112</v>
      </c>
      <c r="AL38" s="31"/>
      <c r="AM38" s="333"/>
      <c r="AN38" s="333">
        <v>56085</v>
      </c>
      <c r="AO38" s="333"/>
      <c r="AP38" s="333">
        <v>56085</v>
      </c>
      <c r="AQ38" s="333" t="s">
        <v>2798</v>
      </c>
      <c r="AR38" s="209">
        <v>73.489999999999995</v>
      </c>
      <c r="AS38" s="122" t="s">
        <v>2869</v>
      </c>
      <c r="AT38" s="122" t="s">
        <v>2870</v>
      </c>
      <c r="AU38" s="117"/>
      <c r="AV38" s="117"/>
      <c r="AW38" s="117"/>
      <c r="AX38" s="336">
        <v>4.2439999999999998</v>
      </c>
      <c r="AY38" s="336">
        <v>5.65</v>
      </c>
      <c r="AZ38" s="88">
        <v>1.45</v>
      </c>
      <c r="BA38" s="326">
        <f t="shared" si="14"/>
        <v>4.6559999999999997</v>
      </c>
      <c r="BB38" s="326">
        <f t="shared" si="14"/>
        <v>4.6559999999999997</v>
      </c>
      <c r="BC38" s="326">
        <f t="shared" si="15"/>
        <v>6.0720000000000001</v>
      </c>
      <c r="BD38" s="324">
        <f t="shared" si="10"/>
        <v>7.6175263999999993E-2</v>
      </c>
      <c r="BE38" s="88">
        <v>0.12</v>
      </c>
      <c r="BF38" s="323">
        <v>19.5</v>
      </c>
      <c r="BG38" s="323">
        <f t="shared" si="16"/>
        <v>14.62</v>
      </c>
      <c r="BH38" s="323">
        <v>6.62</v>
      </c>
      <c r="BI38" s="324">
        <f t="shared" si="11"/>
        <v>1.0921850694444444</v>
      </c>
      <c r="BJ38" s="327">
        <v>1.1100000000000001</v>
      </c>
      <c r="BK38" s="327"/>
      <c r="BL38" s="327"/>
      <c r="BM38" s="124" t="s">
        <v>764</v>
      </c>
      <c r="BN38" s="82">
        <v>12</v>
      </c>
      <c r="BO38" s="82">
        <v>6</v>
      </c>
      <c r="BP38" s="82">
        <v>6</v>
      </c>
      <c r="BQ38" s="27">
        <f t="shared" si="12"/>
        <v>432</v>
      </c>
      <c r="BR38" s="325">
        <f t="shared" si="13"/>
        <v>768.19999999999982</v>
      </c>
      <c r="BS38" s="325" t="s">
        <v>2868</v>
      </c>
      <c r="BT38" s="94" t="s">
        <v>780</v>
      </c>
      <c r="BU38" s="81"/>
      <c r="BV38" s="81"/>
      <c r="BW38" s="35"/>
    </row>
    <row r="39" spans="1:77" s="1" customFormat="1" x14ac:dyDescent="0.25">
      <c r="A39" s="106">
        <v>42725</v>
      </c>
      <c r="B39" s="83" t="s">
        <v>14</v>
      </c>
      <c r="C39" s="83" t="s">
        <v>2799</v>
      </c>
      <c r="D39" s="83" t="s">
        <v>735</v>
      </c>
      <c r="E39" s="83" t="s">
        <v>2779</v>
      </c>
      <c r="F39" s="214" t="s">
        <v>2800</v>
      </c>
      <c r="G39" s="41" t="s">
        <v>908</v>
      </c>
      <c r="H39" s="96" t="s">
        <v>2801</v>
      </c>
      <c r="I39" s="333"/>
      <c r="J39" s="333"/>
      <c r="K39" s="25"/>
      <c r="L39" s="26"/>
      <c r="M39" s="26"/>
      <c r="N39" s="26"/>
      <c r="O39" s="254"/>
      <c r="P39" s="254"/>
      <c r="Q39" s="254"/>
      <c r="R39" s="254"/>
      <c r="S39" s="254"/>
      <c r="T39" s="254"/>
      <c r="U39" s="25"/>
      <c r="V39" s="33"/>
      <c r="W39" s="25">
        <v>86814</v>
      </c>
      <c r="X39" s="33"/>
      <c r="Y39" s="31"/>
      <c r="Z39" s="33"/>
      <c r="AA39" s="25"/>
      <c r="AB39" s="333" t="s">
        <v>2802</v>
      </c>
      <c r="AC39" s="333" t="s">
        <v>2803</v>
      </c>
      <c r="AD39" s="41" t="s">
        <v>2804</v>
      </c>
      <c r="AE39" s="333"/>
      <c r="AF39" s="333" t="s">
        <v>2805</v>
      </c>
      <c r="AG39" s="333"/>
      <c r="AH39" s="333" t="s">
        <v>2806</v>
      </c>
      <c r="AI39" s="333"/>
      <c r="AJ39" s="333"/>
      <c r="AK39" s="333">
        <v>3814</v>
      </c>
      <c r="AL39" s="31"/>
      <c r="AM39" s="333"/>
      <c r="AN39" s="333">
        <v>59184</v>
      </c>
      <c r="AO39" s="333"/>
      <c r="AP39" s="333" t="s">
        <v>2799</v>
      </c>
      <c r="AQ39" s="333">
        <v>33814</v>
      </c>
      <c r="AR39" s="209">
        <v>37.950000000000003</v>
      </c>
      <c r="AS39" s="122" t="s">
        <v>2871</v>
      </c>
      <c r="AT39" s="122" t="s">
        <v>2872</v>
      </c>
      <c r="AU39" s="117"/>
      <c r="AV39" s="117"/>
      <c r="AW39" s="117"/>
      <c r="AX39" s="336">
        <v>2.41</v>
      </c>
      <c r="AY39" s="336">
        <v>6.5</v>
      </c>
      <c r="AZ39" s="88">
        <v>0.32</v>
      </c>
      <c r="BA39" s="326">
        <f>2.87+0.036</f>
        <v>2.9060000000000001</v>
      </c>
      <c r="BB39" s="326">
        <f>2.87+0.036</f>
        <v>2.9060000000000001</v>
      </c>
      <c r="BC39" s="326">
        <f>6.62+0.036+0.036</f>
        <v>6.6919999999999993</v>
      </c>
      <c r="BD39" s="324">
        <f t="shared" si="10"/>
        <v>3.270419126851852E-2</v>
      </c>
      <c r="BE39" s="88">
        <v>0.08</v>
      </c>
      <c r="BF39" s="323">
        <v>12.25</v>
      </c>
      <c r="BG39" s="323">
        <v>9</v>
      </c>
      <c r="BH39" s="323">
        <f>7.38+0.5</f>
        <v>7.88</v>
      </c>
      <c r="BI39" s="324">
        <f t="shared" si="11"/>
        <v>0.50276041666666671</v>
      </c>
      <c r="BJ39" s="327">
        <v>0.51</v>
      </c>
      <c r="BK39" s="327"/>
      <c r="BL39" s="327"/>
      <c r="BM39" s="124" t="s">
        <v>764</v>
      </c>
      <c r="BN39" s="82">
        <v>12</v>
      </c>
      <c r="BO39" s="82">
        <v>16</v>
      </c>
      <c r="BP39" s="82">
        <v>5</v>
      </c>
      <c r="BQ39" s="27">
        <f t="shared" si="12"/>
        <v>960</v>
      </c>
      <c r="BR39" s="325">
        <f t="shared" si="13"/>
        <v>474.80000000000007</v>
      </c>
      <c r="BS39" s="325" t="s">
        <v>769</v>
      </c>
      <c r="BT39" s="94" t="s">
        <v>780</v>
      </c>
      <c r="BU39" s="81"/>
      <c r="BV39" s="81"/>
      <c r="BW39" s="35"/>
    </row>
    <row r="40" spans="1:77" s="1" customFormat="1" x14ac:dyDescent="0.25">
      <c r="A40" s="106">
        <v>42725</v>
      </c>
      <c r="B40" s="83" t="s">
        <v>14</v>
      </c>
      <c r="C40" s="83" t="s">
        <v>2807</v>
      </c>
      <c r="D40" s="83" t="s">
        <v>735</v>
      </c>
      <c r="E40" s="83" t="s">
        <v>2779</v>
      </c>
      <c r="F40" s="214" t="s">
        <v>2808</v>
      </c>
      <c r="G40" s="41" t="s">
        <v>737</v>
      </c>
      <c r="H40" s="96">
        <v>25993215</v>
      </c>
      <c r="I40" s="333"/>
      <c r="J40" s="333"/>
      <c r="K40" s="25"/>
      <c r="L40" s="26"/>
      <c r="M40" s="26"/>
      <c r="N40" s="26"/>
      <c r="O40" s="254"/>
      <c r="P40" s="254"/>
      <c r="Q40" s="254"/>
      <c r="R40" s="254"/>
      <c r="S40" s="254"/>
      <c r="T40" s="254"/>
      <c r="U40" s="25"/>
      <c r="V40" s="33"/>
      <c r="W40" s="25">
        <v>86315</v>
      </c>
      <c r="X40" s="33"/>
      <c r="Y40" s="31"/>
      <c r="Z40" s="33"/>
      <c r="AA40" s="25"/>
      <c r="AB40" s="333"/>
      <c r="AC40" s="333" t="s">
        <v>2809</v>
      </c>
      <c r="AD40" s="41"/>
      <c r="AE40" s="333"/>
      <c r="AF40" s="333"/>
      <c r="AG40" s="333"/>
      <c r="AH40" s="333"/>
      <c r="AI40" s="333"/>
      <c r="AJ40" s="333"/>
      <c r="AK40" s="333">
        <v>3315</v>
      </c>
      <c r="AL40" s="31"/>
      <c r="AM40" s="333"/>
      <c r="AN40" s="333" t="s">
        <v>2810</v>
      </c>
      <c r="AO40" s="333"/>
      <c r="AP40" s="333" t="s">
        <v>2807</v>
      </c>
      <c r="AQ40" s="333">
        <v>33315</v>
      </c>
      <c r="AR40" s="209">
        <v>27.23</v>
      </c>
      <c r="AS40" s="122" t="s">
        <v>2873</v>
      </c>
      <c r="AT40" s="122" t="s">
        <v>2874</v>
      </c>
      <c r="AU40" s="117"/>
      <c r="AV40" s="117"/>
      <c r="AW40" s="117"/>
      <c r="AX40" s="336">
        <v>2.19</v>
      </c>
      <c r="AY40" s="336">
        <v>6.14</v>
      </c>
      <c r="AZ40" s="88">
        <v>0.35</v>
      </c>
      <c r="BA40" s="326">
        <f>2.37+0.036</f>
        <v>2.4060000000000001</v>
      </c>
      <c r="BB40" s="326">
        <f>2.37+0.036</f>
        <v>2.4060000000000001</v>
      </c>
      <c r="BC40" s="326">
        <f>6.8+0.036+0.036</f>
        <v>6.871999999999999</v>
      </c>
      <c r="BD40" s="324">
        <f t="shared" si="10"/>
        <v>2.3021343166666666E-2</v>
      </c>
      <c r="BE40" s="88">
        <v>0.06</v>
      </c>
      <c r="BF40" s="323">
        <v>10.25</v>
      </c>
      <c r="BG40" s="323">
        <v>7.75</v>
      </c>
      <c r="BH40" s="323">
        <f>6.62+0.5</f>
        <v>7.12</v>
      </c>
      <c r="BI40" s="324">
        <f t="shared" si="11"/>
        <v>0.32731192129629633</v>
      </c>
      <c r="BJ40" s="91">
        <v>0.4</v>
      </c>
      <c r="BK40" s="91"/>
      <c r="BL40" s="91"/>
      <c r="BM40" s="124" t="s">
        <v>764</v>
      </c>
      <c r="BN40" s="82">
        <v>12</v>
      </c>
      <c r="BO40" s="82">
        <v>22</v>
      </c>
      <c r="BP40" s="82">
        <v>6</v>
      </c>
      <c r="BQ40" s="27">
        <f t="shared" si="12"/>
        <v>1584</v>
      </c>
      <c r="BR40" s="325">
        <f t="shared" si="13"/>
        <v>752.24</v>
      </c>
      <c r="BS40" s="325" t="s">
        <v>769</v>
      </c>
      <c r="BT40" s="94" t="s">
        <v>780</v>
      </c>
      <c r="BU40" s="81"/>
      <c r="BV40" s="81"/>
      <c r="BW40" s="35"/>
    </row>
    <row r="41" spans="1:77" s="1" customFormat="1" x14ac:dyDescent="0.25">
      <c r="A41" s="106">
        <v>42725</v>
      </c>
      <c r="B41" s="83" t="s">
        <v>14</v>
      </c>
      <c r="C41" s="83" t="s">
        <v>2811</v>
      </c>
      <c r="D41" s="83" t="s">
        <v>735</v>
      </c>
      <c r="E41" s="83" t="s">
        <v>930</v>
      </c>
      <c r="F41" s="335" t="s">
        <v>2812</v>
      </c>
      <c r="G41" s="41" t="s">
        <v>754</v>
      </c>
      <c r="H41" s="96">
        <v>13717582908</v>
      </c>
      <c r="I41" s="333"/>
      <c r="J41" s="333"/>
      <c r="K41" s="25"/>
      <c r="L41" s="26"/>
      <c r="M41" s="26"/>
      <c r="N41" s="26"/>
      <c r="O41" s="254"/>
      <c r="P41" s="254"/>
      <c r="Q41" s="254"/>
      <c r="R41" s="254"/>
      <c r="S41" s="254"/>
      <c r="T41" s="254"/>
      <c r="U41" s="25"/>
      <c r="V41" s="33"/>
      <c r="W41" s="25">
        <v>83208</v>
      </c>
      <c r="X41" s="33"/>
      <c r="Y41" s="31"/>
      <c r="Z41" s="33"/>
      <c r="AA41" s="25"/>
      <c r="AB41" s="333" t="s">
        <v>2813</v>
      </c>
      <c r="AC41" s="333" t="s">
        <v>2814</v>
      </c>
      <c r="AD41" s="41" t="s">
        <v>2815</v>
      </c>
      <c r="AE41" s="333" t="s">
        <v>2816</v>
      </c>
      <c r="AF41" s="333" t="s">
        <v>2817</v>
      </c>
      <c r="AG41" s="333"/>
      <c r="AH41" s="333" t="s">
        <v>2818</v>
      </c>
      <c r="AI41" s="333"/>
      <c r="AJ41" s="333"/>
      <c r="AK41" s="333">
        <v>9208</v>
      </c>
      <c r="AL41" s="31" t="s">
        <v>2819</v>
      </c>
      <c r="AM41" s="333" t="s">
        <v>2820</v>
      </c>
      <c r="AN41" s="333"/>
      <c r="AO41" s="333"/>
      <c r="AP41" s="333"/>
      <c r="AQ41" s="333">
        <v>49208</v>
      </c>
      <c r="AR41" s="209">
        <v>35.229999999999997</v>
      </c>
      <c r="AS41" s="122" t="s">
        <v>2875</v>
      </c>
      <c r="AT41" s="122" t="s">
        <v>2876</v>
      </c>
      <c r="AU41" s="123">
        <v>10.63</v>
      </c>
      <c r="AV41" s="123">
        <v>9.92</v>
      </c>
      <c r="AW41" s="123">
        <v>2.0099999999999998</v>
      </c>
      <c r="AX41" s="36"/>
      <c r="AY41" s="36"/>
      <c r="AZ41" s="88">
        <v>0.62</v>
      </c>
      <c r="BA41" s="326">
        <f>10.68+0.036</f>
        <v>10.715999999999999</v>
      </c>
      <c r="BB41" s="326">
        <f>2.43+0.036</f>
        <v>2.4660000000000002</v>
      </c>
      <c r="BC41" s="324">
        <f>10.68+0.036+0.036</f>
        <v>10.751999999999999</v>
      </c>
      <c r="BD41" s="324">
        <f t="shared" si="10"/>
        <v>0.164426304</v>
      </c>
      <c r="BE41" s="88">
        <v>0.24</v>
      </c>
      <c r="BF41" s="323">
        <v>11.25</v>
      </c>
      <c r="BG41" s="323">
        <v>8</v>
      </c>
      <c r="BH41" s="323">
        <v>11.5</v>
      </c>
      <c r="BI41" s="324">
        <f t="shared" si="11"/>
        <v>0.59895833333333337</v>
      </c>
      <c r="BJ41" s="327">
        <v>0.53</v>
      </c>
      <c r="BK41" s="327"/>
      <c r="BL41" s="327"/>
      <c r="BM41" s="124" t="s">
        <v>764</v>
      </c>
      <c r="BN41" s="82">
        <v>3</v>
      </c>
      <c r="BO41" s="82">
        <v>20</v>
      </c>
      <c r="BP41" s="82">
        <v>3</v>
      </c>
      <c r="BQ41" s="27">
        <f t="shared" si="12"/>
        <v>180</v>
      </c>
      <c r="BR41" s="325">
        <f t="shared" si="13"/>
        <v>236.60000000000002</v>
      </c>
      <c r="BS41" s="27" t="s">
        <v>769</v>
      </c>
      <c r="BT41" s="94" t="s">
        <v>766</v>
      </c>
      <c r="BU41" s="81"/>
      <c r="BV41" s="81"/>
      <c r="BW41" s="35"/>
    </row>
    <row r="42" spans="1:77" s="1" customFormat="1" x14ac:dyDescent="0.25">
      <c r="A42" s="106">
        <v>42725</v>
      </c>
      <c r="B42" s="83" t="s">
        <v>14</v>
      </c>
      <c r="C42" s="83" t="s">
        <v>2821</v>
      </c>
      <c r="D42" s="83" t="s">
        <v>735</v>
      </c>
      <c r="E42" s="83" t="s">
        <v>930</v>
      </c>
      <c r="F42" s="335" t="s">
        <v>2822</v>
      </c>
      <c r="G42" s="41" t="s">
        <v>963</v>
      </c>
      <c r="H42" s="96" t="s">
        <v>2823</v>
      </c>
      <c r="I42" s="333"/>
      <c r="J42" s="333"/>
      <c r="K42" s="25"/>
      <c r="L42" s="26"/>
      <c r="M42" s="26"/>
      <c r="N42" s="26"/>
      <c r="O42" s="254"/>
      <c r="P42" s="254"/>
      <c r="Q42" s="254"/>
      <c r="R42" s="254"/>
      <c r="S42" s="254"/>
      <c r="T42" s="254"/>
      <c r="U42" s="25" t="s">
        <v>2824</v>
      </c>
      <c r="V42" s="33"/>
      <c r="W42" s="25"/>
      <c r="X42" s="33"/>
      <c r="Y42" s="31"/>
      <c r="Z42" s="33"/>
      <c r="AA42" s="25"/>
      <c r="AB42" s="333"/>
      <c r="AC42" s="333" t="s">
        <v>2825</v>
      </c>
      <c r="AD42" s="41"/>
      <c r="AE42" s="333" t="s">
        <v>2826</v>
      </c>
      <c r="AF42" s="333"/>
      <c r="AG42" s="333"/>
      <c r="AH42" s="333"/>
      <c r="AI42" s="333"/>
      <c r="AJ42" s="333"/>
      <c r="AK42" s="333">
        <v>200196</v>
      </c>
      <c r="AL42" s="31"/>
      <c r="AM42" s="333"/>
      <c r="AN42" s="333" t="s">
        <v>2827</v>
      </c>
      <c r="AO42" s="333"/>
      <c r="AP42" s="333" t="s">
        <v>2827</v>
      </c>
      <c r="AQ42" s="333" t="s">
        <v>2828</v>
      </c>
      <c r="AR42" s="209">
        <v>28.17</v>
      </c>
      <c r="AS42" s="122" t="s">
        <v>2877</v>
      </c>
      <c r="AT42" s="122" t="s">
        <v>2878</v>
      </c>
      <c r="AU42" s="123">
        <v>10.47</v>
      </c>
      <c r="AV42" s="123">
        <v>7.23</v>
      </c>
      <c r="AW42" s="123">
        <v>1.91</v>
      </c>
      <c r="AX42" s="36"/>
      <c r="AY42" s="36"/>
      <c r="AZ42" s="88">
        <v>0.5</v>
      </c>
      <c r="BA42" s="326">
        <f>7.48+0.036</f>
        <v>7.516</v>
      </c>
      <c r="BB42" s="326">
        <f>2.16+0.036</f>
        <v>2.1960000000000002</v>
      </c>
      <c r="BC42" s="326">
        <f>10.71+0.036+0.036</f>
        <v>10.782</v>
      </c>
      <c r="BD42" s="324">
        <f t="shared" si="10"/>
        <v>0.10298517150000001</v>
      </c>
      <c r="BE42" s="88">
        <v>0.05</v>
      </c>
      <c r="BF42" s="323">
        <f>13.38+0.25</f>
        <v>13.63</v>
      </c>
      <c r="BG42" s="323">
        <f>10.94+0.25</f>
        <v>11.19</v>
      </c>
      <c r="BH42" s="323">
        <f>7.95+0.5</f>
        <v>8.4499999999999993</v>
      </c>
      <c r="BI42" s="324">
        <f t="shared" si="11"/>
        <v>0.74582839409722212</v>
      </c>
      <c r="BJ42" s="91">
        <v>0.15</v>
      </c>
      <c r="BK42" s="91"/>
      <c r="BL42" s="91"/>
      <c r="BM42" s="124" t="s">
        <v>764</v>
      </c>
      <c r="BN42" s="82">
        <v>6</v>
      </c>
      <c r="BO42" s="82">
        <v>11</v>
      </c>
      <c r="BP42" s="82">
        <v>5</v>
      </c>
      <c r="BQ42" s="27">
        <f t="shared" si="12"/>
        <v>330</v>
      </c>
      <c r="BR42" s="325">
        <f t="shared" si="13"/>
        <v>239.75</v>
      </c>
      <c r="BS42" s="27" t="s">
        <v>765</v>
      </c>
      <c r="BT42" s="94" t="s">
        <v>766</v>
      </c>
      <c r="BU42" s="81"/>
      <c r="BV42" s="81"/>
      <c r="BW42" s="35"/>
    </row>
    <row r="43" spans="1:77" s="1" customFormat="1" x14ac:dyDescent="0.25">
      <c r="A43" s="106">
        <v>42725</v>
      </c>
      <c r="B43" s="83" t="s">
        <v>14</v>
      </c>
      <c r="C43" s="83" t="s">
        <v>2829</v>
      </c>
      <c r="D43" s="83" t="s">
        <v>735</v>
      </c>
      <c r="E43" s="83" t="s">
        <v>930</v>
      </c>
      <c r="F43" s="214" t="s">
        <v>2830</v>
      </c>
      <c r="G43" s="41" t="s">
        <v>963</v>
      </c>
      <c r="H43" s="96" t="s">
        <v>2831</v>
      </c>
      <c r="I43" s="333"/>
      <c r="J43" s="333"/>
      <c r="K43" s="25"/>
      <c r="L43" s="26"/>
      <c r="M43" s="26"/>
      <c r="N43" s="26"/>
      <c r="O43" s="254"/>
      <c r="P43" s="254"/>
      <c r="Q43" s="254"/>
      <c r="R43" s="254"/>
      <c r="S43" s="254"/>
      <c r="T43" s="254"/>
      <c r="U43" s="25" t="s">
        <v>2832</v>
      </c>
      <c r="V43" s="33"/>
      <c r="W43" s="25"/>
      <c r="X43" s="33"/>
      <c r="Y43" s="31"/>
      <c r="Z43" s="33"/>
      <c r="AA43" s="25"/>
      <c r="AB43" s="333"/>
      <c r="AC43" s="333" t="s">
        <v>2833</v>
      </c>
      <c r="AD43" s="41"/>
      <c r="AE43" s="333"/>
      <c r="AF43" s="333"/>
      <c r="AG43" s="333"/>
      <c r="AH43" s="333"/>
      <c r="AI43" s="333"/>
      <c r="AJ43" s="333"/>
      <c r="AK43" s="333">
        <v>200296</v>
      </c>
      <c r="AL43" s="31"/>
      <c r="AM43" s="333" t="s">
        <v>2834</v>
      </c>
      <c r="AN43" s="333" t="s">
        <v>2835</v>
      </c>
      <c r="AO43" s="333"/>
      <c r="AP43" s="333" t="s">
        <v>2835</v>
      </c>
      <c r="AQ43" s="333" t="s">
        <v>2836</v>
      </c>
      <c r="AR43" s="209">
        <v>17.48</v>
      </c>
      <c r="AS43" s="122" t="s">
        <v>2879</v>
      </c>
      <c r="AT43" s="122" t="s">
        <v>2880</v>
      </c>
      <c r="AU43" s="123">
        <v>11.65</v>
      </c>
      <c r="AV43" s="123">
        <v>7.09</v>
      </c>
      <c r="AW43" s="123">
        <v>1.89</v>
      </c>
      <c r="AX43" s="36"/>
      <c r="AY43" s="36"/>
      <c r="AZ43" s="88">
        <v>0.55000000000000004</v>
      </c>
      <c r="BA43" s="326">
        <f>7.36+0.036</f>
        <v>7.3959999999999999</v>
      </c>
      <c r="BB43" s="326">
        <f>2.32+0.036</f>
        <v>2.3559999999999999</v>
      </c>
      <c r="BC43" s="326">
        <f>12.24+0.072</f>
        <v>12.311999999999999</v>
      </c>
      <c r="BD43" s="324">
        <f t="shared" si="10"/>
        <v>0.124152954</v>
      </c>
      <c r="BE43" s="88">
        <v>0.05</v>
      </c>
      <c r="BF43" s="323">
        <f>14.33+0.25</f>
        <v>14.58</v>
      </c>
      <c r="BG43" s="323">
        <f>12.48+0.25</f>
        <v>12.73</v>
      </c>
      <c r="BH43" s="323">
        <f>7.83+0.5</f>
        <v>8.33</v>
      </c>
      <c r="BI43" s="324">
        <f t="shared" si="11"/>
        <v>0.89472009375000006</v>
      </c>
      <c r="BJ43" s="91">
        <v>0.15</v>
      </c>
      <c r="BK43" s="91"/>
      <c r="BL43" s="91"/>
      <c r="BM43" s="124" t="s">
        <v>764</v>
      </c>
      <c r="BN43" s="82">
        <v>6</v>
      </c>
      <c r="BO43" s="82">
        <v>9</v>
      </c>
      <c r="BP43" s="82">
        <v>5</v>
      </c>
      <c r="BQ43" s="27">
        <f t="shared" si="12"/>
        <v>270</v>
      </c>
      <c r="BR43" s="325">
        <f t="shared" si="13"/>
        <v>218.75000000000003</v>
      </c>
      <c r="BS43" s="27" t="s">
        <v>765</v>
      </c>
      <c r="BT43" s="94" t="s">
        <v>766</v>
      </c>
      <c r="BU43" s="81"/>
      <c r="BV43" s="81"/>
      <c r="BW43" s="35"/>
    </row>
    <row r="44" spans="1:77" s="1" customFormat="1" x14ac:dyDescent="0.25">
      <c r="A44" s="106">
        <v>42725</v>
      </c>
      <c r="B44" s="83" t="s">
        <v>14</v>
      </c>
      <c r="C44" s="83" t="s">
        <v>2837</v>
      </c>
      <c r="D44" s="83" t="s">
        <v>735</v>
      </c>
      <c r="E44" s="83" t="s">
        <v>930</v>
      </c>
      <c r="F44" s="214" t="s">
        <v>2838</v>
      </c>
      <c r="G44" s="41" t="s">
        <v>1029</v>
      </c>
      <c r="H44" s="96" t="s">
        <v>2839</v>
      </c>
      <c r="I44" s="333"/>
      <c r="J44" s="333"/>
      <c r="K44" s="25"/>
      <c r="L44" s="26"/>
      <c r="M44" s="26"/>
      <c r="N44" s="26"/>
      <c r="O44" s="254"/>
      <c r="P44" s="254"/>
      <c r="Q44" s="254"/>
      <c r="R44" s="254"/>
      <c r="S44" s="254"/>
      <c r="T44" s="254"/>
      <c r="U44" s="25"/>
      <c r="V44" s="33"/>
      <c r="W44" s="25">
        <v>93085</v>
      </c>
      <c r="X44" s="33"/>
      <c r="Y44" s="31"/>
      <c r="Z44" s="33"/>
      <c r="AA44" s="25"/>
      <c r="AB44" s="333"/>
      <c r="AC44" s="333"/>
      <c r="AD44" s="41"/>
      <c r="AE44" s="333" t="s">
        <v>2840</v>
      </c>
      <c r="AF44" s="333"/>
      <c r="AG44" s="333"/>
      <c r="AH44" s="333"/>
      <c r="AI44" s="333"/>
      <c r="AJ44" s="333"/>
      <c r="AK44" s="333">
        <v>200085</v>
      </c>
      <c r="AL44" s="31" t="s">
        <v>2841</v>
      </c>
      <c r="AM44" s="333"/>
      <c r="AN44" s="333" t="s">
        <v>2842</v>
      </c>
      <c r="AO44" s="333"/>
      <c r="AP44" s="333" t="s">
        <v>2842</v>
      </c>
      <c r="AQ44" s="333" t="s">
        <v>2843</v>
      </c>
      <c r="AR44" s="209">
        <v>26.43</v>
      </c>
      <c r="AS44" s="122" t="s">
        <v>2881</v>
      </c>
      <c r="AT44" s="122" t="s">
        <v>2882</v>
      </c>
      <c r="AU44" s="123">
        <v>10.24</v>
      </c>
      <c r="AV44" s="123">
        <v>11.75</v>
      </c>
      <c r="AW44" s="123">
        <v>2.2999999999999998</v>
      </c>
      <c r="AX44" s="36"/>
      <c r="AY44" s="36"/>
      <c r="AZ44" s="88">
        <v>0.95</v>
      </c>
      <c r="BA44" s="326">
        <f>11.02+0.036</f>
        <v>11.055999999999999</v>
      </c>
      <c r="BB44" s="326">
        <f>2.76+0.036</f>
        <v>2.7959999999999998</v>
      </c>
      <c r="BC44" s="326">
        <f>12.076</f>
        <v>12.076000000000001</v>
      </c>
      <c r="BD44" s="324">
        <f t="shared" si="10"/>
        <v>0.21603024755555555</v>
      </c>
      <c r="BE44" s="88">
        <v>0.05</v>
      </c>
      <c r="BF44" s="323">
        <f>16.93+0.25</f>
        <v>17.18</v>
      </c>
      <c r="BG44" s="323">
        <f>12.24+0.25</f>
        <v>12.49</v>
      </c>
      <c r="BH44" s="323">
        <v>12</v>
      </c>
      <c r="BI44" s="324">
        <f t="shared" si="11"/>
        <v>1.4901263888888889</v>
      </c>
      <c r="BJ44" s="91">
        <v>0.15</v>
      </c>
      <c r="BK44" s="91"/>
      <c r="BL44" s="91"/>
      <c r="BM44" s="124" t="s">
        <v>764</v>
      </c>
      <c r="BN44" s="82">
        <v>6</v>
      </c>
      <c r="BO44" s="82">
        <v>7</v>
      </c>
      <c r="BP44" s="82">
        <v>3</v>
      </c>
      <c r="BQ44" s="27">
        <f t="shared" si="12"/>
        <v>126</v>
      </c>
      <c r="BR44" s="325">
        <f t="shared" si="13"/>
        <v>179.15</v>
      </c>
      <c r="BS44" s="27" t="s">
        <v>765</v>
      </c>
      <c r="BT44" s="94" t="s">
        <v>766</v>
      </c>
      <c r="BU44" s="81"/>
      <c r="BV44" s="81"/>
      <c r="BW44" s="35"/>
    </row>
    <row r="45" spans="1:77" s="1" customFormat="1" x14ac:dyDescent="0.25">
      <c r="A45" s="106">
        <v>42725</v>
      </c>
      <c r="B45" s="83" t="s">
        <v>14</v>
      </c>
      <c r="C45" s="83" t="s">
        <v>2844</v>
      </c>
      <c r="D45" s="83" t="s">
        <v>735</v>
      </c>
      <c r="E45" s="83" t="s">
        <v>2845</v>
      </c>
      <c r="F45" s="214" t="s">
        <v>2846</v>
      </c>
      <c r="G45" s="41" t="s">
        <v>963</v>
      </c>
      <c r="H45" s="96" t="s">
        <v>2847</v>
      </c>
      <c r="I45" s="333"/>
      <c r="J45" s="333"/>
      <c r="K45" s="25"/>
      <c r="L45" s="26"/>
      <c r="M45" s="26"/>
      <c r="N45" s="26"/>
      <c r="O45" s="254"/>
      <c r="P45" s="254"/>
      <c r="Q45" s="254"/>
      <c r="R45" s="254"/>
      <c r="S45" s="254"/>
      <c r="T45" s="254"/>
      <c r="U45" s="25"/>
      <c r="V45" s="33"/>
      <c r="W45" s="25"/>
      <c r="X45" s="33"/>
      <c r="Y45" s="31"/>
      <c r="Z45" s="33"/>
      <c r="AA45" s="25"/>
      <c r="AB45" s="333"/>
      <c r="AC45" s="333"/>
      <c r="AD45" s="41"/>
      <c r="AE45" s="333"/>
      <c r="AF45" s="333"/>
      <c r="AG45" s="333"/>
      <c r="AH45" s="333"/>
      <c r="AI45" s="333"/>
      <c r="AJ45" s="333"/>
      <c r="AK45" s="333"/>
      <c r="AL45" s="31"/>
      <c r="AM45" s="333"/>
      <c r="AN45" s="333">
        <v>56086</v>
      </c>
      <c r="AO45" s="333"/>
      <c r="AP45" s="333">
        <v>56086</v>
      </c>
      <c r="AQ45" s="333"/>
      <c r="AR45" s="209">
        <v>42.24</v>
      </c>
      <c r="AS45" s="122" t="s">
        <v>2883</v>
      </c>
      <c r="AT45" s="122" t="s">
        <v>2884</v>
      </c>
      <c r="AU45" s="117"/>
      <c r="AV45" s="117"/>
      <c r="AW45" s="117"/>
      <c r="AX45" s="332">
        <v>2.91</v>
      </c>
      <c r="AY45" s="332">
        <v>5.35</v>
      </c>
      <c r="AZ45" s="88">
        <v>0.25</v>
      </c>
      <c r="BA45" s="326">
        <f>3.15+0.036</f>
        <v>3.1859999999999999</v>
      </c>
      <c r="BB45" s="326">
        <f>3.15+0.036</f>
        <v>3.1859999999999999</v>
      </c>
      <c r="BC45" s="326">
        <v>6.0720000000000001</v>
      </c>
      <c r="BD45" s="324">
        <f t="shared" si="10"/>
        <v>3.5668066499999998E-2</v>
      </c>
      <c r="BE45" s="88">
        <v>7.0000000000000007E-2</v>
      </c>
      <c r="BF45" s="323">
        <v>13.25</v>
      </c>
      <c r="BG45" s="323">
        <v>10</v>
      </c>
      <c r="BH45" s="323">
        <v>6.62</v>
      </c>
      <c r="BI45" s="323">
        <f t="shared" si="11"/>
        <v>0.50760995370370376</v>
      </c>
      <c r="BJ45" s="91">
        <v>0.59</v>
      </c>
      <c r="BK45" s="91"/>
      <c r="BL45" s="91"/>
      <c r="BM45" s="124" t="s">
        <v>764</v>
      </c>
      <c r="BN45" s="82">
        <v>12</v>
      </c>
      <c r="BO45" s="82">
        <v>14</v>
      </c>
      <c r="BP45" s="82">
        <v>6</v>
      </c>
      <c r="BQ45" s="27">
        <f t="shared" si="12"/>
        <v>1008</v>
      </c>
      <c r="BR45" s="325">
        <f t="shared" si="13"/>
        <v>422.12</v>
      </c>
      <c r="BS45" s="27" t="s">
        <v>2868</v>
      </c>
      <c r="BT45" s="94" t="s">
        <v>780</v>
      </c>
      <c r="BU45" s="81"/>
      <c r="BV45" s="81"/>
      <c r="BW45" s="35"/>
    </row>
    <row r="46" spans="1:77" s="1" customFormat="1" ht="30" x14ac:dyDescent="0.25">
      <c r="A46" s="106">
        <v>42629</v>
      </c>
      <c r="B46" s="120" t="s">
        <v>14</v>
      </c>
      <c r="C46" s="120" t="s">
        <v>2625</v>
      </c>
      <c r="D46" s="120" t="s">
        <v>60</v>
      </c>
      <c r="E46" s="120" t="s">
        <v>65</v>
      </c>
      <c r="F46" s="95" t="s">
        <v>2626</v>
      </c>
      <c r="G46" s="41" t="s">
        <v>1335</v>
      </c>
      <c r="H46" s="41" t="s">
        <v>2627</v>
      </c>
      <c r="I46" s="41"/>
      <c r="J46" s="331"/>
      <c r="K46" s="25"/>
      <c r="L46" s="26"/>
      <c r="M46" s="26"/>
      <c r="N46" s="26"/>
      <c r="O46" s="34"/>
      <c r="P46" s="34"/>
      <c r="Q46" s="34"/>
      <c r="R46" s="34"/>
      <c r="S46" s="34"/>
      <c r="T46" s="34"/>
      <c r="U46" s="25"/>
      <c r="V46" s="33"/>
      <c r="W46" s="25"/>
      <c r="X46" s="33"/>
      <c r="Y46" s="31"/>
      <c r="Z46" s="33"/>
      <c r="AA46" s="25"/>
      <c r="AB46" s="85"/>
      <c r="AC46" s="331"/>
      <c r="AD46" s="41"/>
      <c r="AE46" s="331"/>
      <c r="AF46" s="331"/>
      <c r="AG46" s="331"/>
      <c r="AH46" s="331"/>
      <c r="AI46" s="331"/>
      <c r="AJ46" s="331"/>
      <c r="AK46" s="331"/>
      <c r="AL46" s="31"/>
      <c r="AM46" s="331"/>
      <c r="AN46" s="331"/>
      <c r="AO46" s="331"/>
      <c r="AP46" s="331"/>
      <c r="AQ46" s="85"/>
      <c r="AR46" s="87">
        <v>157.58000000000001</v>
      </c>
      <c r="AS46" s="122" t="s">
        <v>2689</v>
      </c>
      <c r="AT46" s="122" t="s">
        <v>2690</v>
      </c>
      <c r="AU46" s="36"/>
      <c r="AV46" s="36"/>
      <c r="AW46" s="36"/>
      <c r="AX46" s="88">
        <v>3.93</v>
      </c>
      <c r="AY46" s="88">
        <v>11</v>
      </c>
      <c r="AZ46" s="88">
        <v>2.2000000000000002</v>
      </c>
      <c r="BA46" s="415" t="s">
        <v>2691</v>
      </c>
      <c r="BB46" s="416"/>
      <c r="BC46" s="416"/>
      <c r="BD46" s="416"/>
      <c r="BE46" s="417"/>
      <c r="BF46" s="323">
        <v>18</v>
      </c>
      <c r="BG46" s="323">
        <v>13.75</v>
      </c>
      <c r="BH46" s="323">
        <v>14</v>
      </c>
      <c r="BI46" s="324">
        <f>(BF46/12)*(BG46/12)*(BH46/12)</f>
        <v>2.0052083333333335</v>
      </c>
      <c r="BJ46" s="91">
        <v>1.1000000000000001</v>
      </c>
      <c r="BK46" s="91"/>
      <c r="BL46" s="91"/>
      <c r="BM46" s="124" t="s">
        <v>764</v>
      </c>
      <c r="BN46" s="82">
        <v>12</v>
      </c>
      <c r="BO46" s="82">
        <v>6</v>
      </c>
      <c r="BP46" s="82">
        <v>3</v>
      </c>
      <c r="BQ46" s="27">
        <f t="shared" ref="BQ46:BQ57" si="17">BN46*BO46*BP46</f>
        <v>216</v>
      </c>
      <c r="BR46" s="325">
        <f>(BQ46*BJ46*AZ46)+150</f>
        <v>672.72000000000014</v>
      </c>
      <c r="BS46" s="27" t="s">
        <v>996</v>
      </c>
      <c r="BT46" s="94" t="s">
        <v>780</v>
      </c>
      <c r="BU46" s="81"/>
      <c r="BV46" s="81"/>
      <c r="BW46" s="35"/>
    </row>
    <row r="47" spans="1:77" s="1" customFormat="1" x14ac:dyDescent="0.25">
      <c r="A47" s="106">
        <v>42629</v>
      </c>
      <c r="B47" s="120" t="s">
        <v>14</v>
      </c>
      <c r="C47" s="82" t="s">
        <v>2628</v>
      </c>
      <c r="D47" s="83" t="s">
        <v>735</v>
      </c>
      <c r="E47" s="83" t="s">
        <v>696</v>
      </c>
      <c r="F47" s="50" t="s">
        <v>2629</v>
      </c>
      <c r="G47" s="50" t="s">
        <v>865</v>
      </c>
      <c r="H47" s="41" t="s">
        <v>2630</v>
      </c>
      <c r="I47" s="331"/>
      <c r="J47" s="331"/>
      <c r="K47" s="25"/>
      <c r="L47" s="26"/>
      <c r="M47" s="26"/>
      <c r="N47" s="26"/>
      <c r="O47" s="34"/>
      <c r="P47" s="34"/>
      <c r="Q47" s="34"/>
      <c r="R47" s="34"/>
      <c r="S47" s="34"/>
      <c r="T47" s="34"/>
      <c r="U47" s="25"/>
      <c r="V47" s="33"/>
      <c r="W47" s="25">
        <v>93050</v>
      </c>
      <c r="X47" s="33"/>
      <c r="Y47" s="31"/>
      <c r="Z47" s="33"/>
      <c r="AA47" s="25"/>
      <c r="AB47" s="85" t="s">
        <v>2631</v>
      </c>
      <c r="AC47" s="331" t="s">
        <v>2632</v>
      </c>
      <c r="AD47" s="41"/>
      <c r="AE47" s="331" t="s">
        <v>2633</v>
      </c>
      <c r="AF47" s="331"/>
      <c r="AG47" s="331"/>
      <c r="AH47" s="331"/>
      <c r="AI47" s="331"/>
      <c r="AJ47" s="85"/>
      <c r="AK47" s="331"/>
      <c r="AL47" s="85" t="s">
        <v>2634</v>
      </c>
      <c r="AM47" s="331"/>
      <c r="AN47" s="331" t="s">
        <v>2635</v>
      </c>
      <c r="AO47" s="331"/>
      <c r="AP47" s="331" t="s">
        <v>2636</v>
      </c>
      <c r="AQ47" s="85" t="s">
        <v>2637</v>
      </c>
      <c r="AR47" s="87">
        <v>23.17</v>
      </c>
      <c r="AS47" s="122" t="s">
        <v>2692</v>
      </c>
      <c r="AT47" s="122" t="s">
        <v>2693</v>
      </c>
      <c r="AU47" s="123">
        <v>11.53</v>
      </c>
      <c r="AV47" s="123">
        <v>6.89</v>
      </c>
      <c r="AW47" s="123">
        <v>1.73</v>
      </c>
      <c r="AX47" s="36"/>
      <c r="AY47" s="36"/>
      <c r="AZ47" s="88">
        <v>0.69</v>
      </c>
      <c r="BA47" s="326">
        <v>7.0359999999999996</v>
      </c>
      <c r="BB47" s="326">
        <v>2.536</v>
      </c>
      <c r="BC47" s="324">
        <f>11.75+0.036+0.036</f>
        <v>11.821999999999999</v>
      </c>
      <c r="BD47" s="324">
        <f t="shared" ref="BD47:BD57" si="18">(BC47*BB47*BA47)/1728</f>
        <v>0.12207375307407406</v>
      </c>
      <c r="BE47" s="88">
        <v>0.19</v>
      </c>
      <c r="BF47" s="323">
        <v>12.25</v>
      </c>
      <c r="BG47" s="323">
        <v>7.5</v>
      </c>
      <c r="BH47" s="323">
        <v>8.5</v>
      </c>
      <c r="BI47" s="324">
        <f t="shared" ref="BI47:BI57" si="19">(BH47*BG47*BF47)/1728</f>
        <v>0.4519314236111111</v>
      </c>
      <c r="BJ47" s="327">
        <v>0.44</v>
      </c>
      <c r="BK47" s="327"/>
      <c r="BL47" s="327"/>
      <c r="BM47" s="124" t="s">
        <v>764</v>
      </c>
      <c r="BN47" s="82">
        <v>3</v>
      </c>
      <c r="BO47" s="82">
        <v>20</v>
      </c>
      <c r="BP47" s="82">
        <v>5</v>
      </c>
      <c r="BQ47" s="27">
        <f t="shared" si="17"/>
        <v>300</v>
      </c>
      <c r="BR47" s="325">
        <f t="shared" ref="BR47:BR57" si="20">((((AZ47+BE47)*BN47)+BJ47)*BO47*BP47)+50</f>
        <v>358</v>
      </c>
      <c r="BS47" s="27" t="s">
        <v>769</v>
      </c>
      <c r="BT47" s="94" t="s">
        <v>766</v>
      </c>
      <c r="BU47" s="81"/>
      <c r="BV47" s="81"/>
      <c r="BW47" s="81"/>
    </row>
    <row r="48" spans="1:77" s="1" customFormat="1" x14ac:dyDescent="0.25">
      <c r="A48" s="106">
        <v>42629</v>
      </c>
      <c r="B48" s="120" t="s">
        <v>14</v>
      </c>
      <c r="C48" s="82" t="s">
        <v>2638</v>
      </c>
      <c r="D48" s="83" t="s">
        <v>735</v>
      </c>
      <c r="E48" s="83" t="s">
        <v>930</v>
      </c>
      <c r="F48" s="50" t="s">
        <v>2639</v>
      </c>
      <c r="G48" s="50" t="s">
        <v>1094</v>
      </c>
      <c r="H48" s="41">
        <v>2760940004</v>
      </c>
      <c r="I48" s="331"/>
      <c r="J48" s="331"/>
      <c r="K48" s="25"/>
      <c r="L48" s="26"/>
      <c r="M48" s="26"/>
      <c r="N48" s="26"/>
      <c r="O48" s="34"/>
      <c r="P48" s="34"/>
      <c r="Q48" s="34"/>
      <c r="R48" s="34"/>
      <c r="S48" s="34"/>
      <c r="T48" s="34"/>
      <c r="U48" s="25"/>
      <c r="V48" s="33"/>
      <c r="W48" s="25">
        <v>83034</v>
      </c>
      <c r="X48" s="33"/>
      <c r="Y48" s="31"/>
      <c r="Z48" s="33"/>
      <c r="AA48" s="25"/>
      <c r="AB48" s="85" t="s">
        <v>2640</v>
      </c>
      <c r="AC48" s="24" t="s">
        <v>2641</v>
      </c>
      <c r="AD48" s="41" t="s">
        <v>2642</v>
      </c>
      <c r="AE48" s="331"/>
      <c r="AF48" s="331" t="s">
        <v>2643</v>
      </c>
      <c r="AG48" s="331"/>
      <c r="AH48" s="331" t="s">
        <v>2644</v>
      </c>
      <c r="AI48" s="331"/>
      <c r="AJ48" s="331"/>
      <c r="AK48" s="331">
        <v>9034</v>
      </c>
      <c r="AL48" s="24"/>
      <c r="AM48" s="331" t="s">
        <v>2645</v>
      </c>
      <c r="AN48" s="331" t="s">
        <v>2646</v>
      </c>
      <c r="AO48" s="331"/>
      <c r="AP48" s="331" t="s">
        <v>2646</v>
      </c>
      <c r="AQ48" s="85">
        <v>49034</v>
      </c>
      <c r="AR48" s="334">
        <v>47.9</v>
      </c>
      <c r="AS48" s="122" t="s">
        <v>2694</v>
      </c>
      <c r="AT48" s="122" t="s">
        <v>2695</v>
      </c>
      <c r="AU48" s="123">
        <v>16.7</v>
      </c>
      <c r="AV48" s="123">
        <v>7.9210000000000003</v>
      </c>
      <c r="AW48" s="123">
        <v>1.101</v>
      </c>
      <c r="AX48" s="36"/>
      <c r="AY48" s="36"/>
      <c r="AZ48" s="88">
        <v>1.1240000000000001</v>
      </c>
      <c r="BA48" s="326">
        <f>10.75+0.036</f>
        <v>10.786</v>
      </c>
      <c r="BB48" s="326">
        <f>1.75+0.036</f>
        <v>1.786</v>
      </c>
      <c r="BC48" s="324">
        <f>17.62+0.036+0.036</f>
        <v>17.692000000000004</v>
      </c>
      <c r="BD48" s="324">
        <f t="shared" si="18"/>
        <v>0.1972309483981482</v>
      </c>
      <c r="BE48" s="88">
        <v>0.31</v>
      </c>
      <c r="BF48" s="323">
        <f>17.87+0.25</f>
        <v>18.12</v>
      </c>
      <c r="BG48" s="323">
        <v>12.25</v>
      </c>
      <c r="BH48" s="323">
        <v>6.62</v>
      </c>
      <c r="BI48" s="324">
        <f t="shared" si="19"/>
        <v>0.85037118055555561</v>
      </c>
      <c r="BJ48" s="327">
        <v>0.81</v>
      </c>
      <c r="BK48" s="327"/>
      <c r="BL48" s="327"/>
      <c r="BM48" s="124" t="s">
        <v>764</v>
      </c>
      <c r="BN48" s="82">
        <v>3</v>
      </c>
      <c r="BO48" s="82">
        <v>7</v>
      </c>
      <c r="BP48" s="82">
        <v>6</v>
      </c>
      <c r="BQ48" s="27">
        <f t="shared" si="17"/>
        <v>126</v>
      </c>
      <c r="BR48" s="325">
        <f t="shared" si="20"/>
        <v>264.70400000000001</v>
      </c>
      <c r="BS48" s="27" t="s">
        <v>769</v>
      </c>
      <c r="BT48" s="94" t="s">
        <v>766</v>
      </c>
      <c r="BU48" s="81"/>
      <c r="BV48" s="81"/>
      <c r="BW48" s="81"/>
      <c r="BX48" s="81"/>
      <c r="BY48" s="81"/>
    </row>
    <row r="49" spans="1:77" s="1" customFormat="1" x14ac:dyDescent="0.25">
      <c r="A49" s="106">
        <v>42629</v>
      </c>
      <c r="B49" s="120" t="s">
        <v>14</v>
      </c>
      <c r="C49" s="83" t="s">
        <v>2647</v>
      </c>
      <c r="D49" s="83" t="s">
        <v>735</v>
      </c>
      <c r="E49" s="83" t="s">
        <v>696</v>
      </c>
      <c r="F49" s="95" t="s">
        <v>2648</v>
      </c>
      <c r="G49" s="41" t="s">
        <v>908</v>
      </c>
      <c r="H49" s="96" t="s">
        <v>2649</v>
      </c>
      <c r="I49" s="331" t="s">
        <v>46</v>
      </c>
      <c r="J49" s="331" t="s">
        <v>2650</v>
      </c>
      <c r="K49" s="25"/>
      <c r="L49" s="26"/>
      <c r="M49" s="26"/>
      <c r="N49" s="26"/>
      <c r="O49" s="34"/>
      <c r="P49" s="34"/>
      <c r="Q49" s="34"/>
      <c r="R49" s="34"/>
      <c r="S49" s="34"/>
      <c r="T49" s="34"/>
      <c r="U49" s="25"/>
      <c r="V49" s="33"/>
      <c r="W49" s="25">
        <v>83013</v>
      </c>
      <c r="X49" s="33"/>
      <c r="Y49" s="31"/>
      <c r="Z49" s="33"/>
      <c r="AA49" s="25"/>
      <c r="AB49" s="85" t="s">
        <v>2651</v>
      </c>
      <c r="AC49" s="331" t="s">
        <v>2652</v>
      </c>
      <c r="AD49" s="41"/>
      <c r="AE49" s="331"/>
      <c r="AF49" s="331"/>
      <c r="AG49" s="331"/>
      <c r="AH49" s="331" t="s">
        <v>2653</v>
      </c>
      <c r="AI49" s="331"/>
      <c r="AJ49" s="331"/>
      <c r="AK49" s="331"/>
      <c r="AL49" s="31"/>
      <c r="AM49" s="331" t="s">
        <v>2654</v>
      </c>
      <c r="AN49" s="331" t="s">
        <v>2655</v>
      </c>
      <c r="AO49" s="331"/>
      <c r="AP49" s="331" t="s">
        <v>2655</v>
      </c>
      <c r="AQ49" s="85">
        <v>49013</v>
      </c>
      <c r="AR49" s="87">
        <v>31.52</v>
      </c>
      <c r="AS49" s="122" t="s">
        <v>2696</v>
      </c>
      <c r="AT49" s="122" t="s">
        <v>2697</v>
      </c>
      <c r="AU49" s="117"/>
      <c r="AV49" s="117"/>
      <c r="AW49" s="117"/>
      <c r="AX49" s="330">
        <v>5.39</v>
      </c>
      <c r="AY49" s="330">
        <v>8.69</v>
      </c>
      <c r="AZ49" s="88">
        <v>0.62</v>
      </c>
      <c r="BA49" s="326">
        <v>6.0359999999999996</v>
      </c>
      <c r="BB49" s="326">
        <v>6.0359999999999996</v>
      </c>
      <c r="BC49" s="326">
        <f>9+0.036+0.036</f>
        <v>9.0719999999999992</v>
      </c>
      <c r="BD49" s="324">
        <f t="shared" si="18"/>
        <v>0.19127480399999996</v>
      </c>
      <c r="BE49" s="88">
        <v>0.1</v>
      </c>
      <c r="BF49" s="323">
        <v>18.75</v>
      </c>
      <c r="BG49" s="323">
        <v>6.75</v>
      </c>
      <c r="BH49" s="323">
        <v>9.6199999999999992</v>
      </c>
      <c r="BI49" s="324">
        <f t="shared" si="19"/>
        <v>0.70458984374999989</v>
      </c>
      <c r="BJ49" s="327">
        <v>0.59</v>
      </c>
      <c r="BK49" s="327"/>
      <c r="BL49" s="327"/>
      <c r="BM49" s="124" t="s">
        <v>764</v>
      </c>
      <c r="BN49" s="82">
        <v>3</v>
      </c>
      <c r="BO49" s="82">
        <v>10</v>
      </c>
      <c r="BP49" s="82">
        <v>6</v>
      </c>
      <c r="BQ49" s="27">
        <f t="shared" si="17"/>
        <v>180</v>
      </c>
      <c r="BR49" s="325">
        <f t="shared" si="20"/>
        <v>215</v>
      </c>
      <c r="BS49" s="27" t="s">
        <v>769</v>
      </c>
      <c r="BT49" s="94" t="s">
        <v>766</v>
      </c>
      <c r="BU49" s="81"/>
      <c r="BV49" s="81"/>
      <c r="BW49" s="35"/>
    </row>
    <row r="50" spans="1:77" s="1" customFormat="1" x14ac:dyDescent="0.25">
      <c r="A50" s="106">
        <v>42629</v>
      </c>
      <c r="B50" s="120" t="s">
        <v>14</v>
      </c>
      <c r="C50" s="83" t="s">
        <v>2656</v>
      </c>
      <c r="D50" s="83" t="s">
        <v>735</v>
      </c>
      <c r="E50" s="83" t="s">
        <v>696</v>
      </c>
      <c r="F50" s="108" t="s">
        <v>2657</v>
      </c>
      <c r="G50" s="50" t="s">
        <v>754</v>
      </c>
      <c r="H50" s="41">
        <v>13718507320</v>
      </c>
      <c r="I50" s="331" t="s">
        <v>754</v>
      </c>
      <c r="J50" s="331">
        <v>13717630911</v>
      </c>
      <c r="K50" s="331" t="s">
        <v>2658</v>
      </c>
      <c r="L50" s="331" t="s">
        <v>2659</v>
      </c>
      <c r="M50" s="26"/>
      <c r="N50" s="26"/>
      <c r="O50" s="34"/>
      <c r="P50" s="34"/>
      <c r="Q50" s="34"/>
      <c r="R50" s="34"/>
      <c r="S50" s="34"/>
      <c r="T50" s="34"/>
      <c r="U50" s="25"/>
      <c r="V50" s="33"/>
      <c r="W50" s="25">
        <v>93005</v>
      </c>
      <c r="X50" s="33"/>
      <c r="Y50" s="31"/>
      <c r="Z50" s="33"/>
      <c r="AA50" s="25"/>
      <c r="AB50" s="85" t="s">
        <v>2660</v>
      </c>
      <c r="AC50" s="331" t="s">
        <v>2661</v>
      </c>
      <c r="AD50" s="41" t="s">
        <v>2662</v>
      </c>
      <c r="AE50" s="331"/>
      <c r="AF50" s="331" t="s">
        <v>2663</v>
      </c>
      <c r="AG50" s="331"/>
      <c r="AH50" s="331" t="s">
        <v>2664</v>
      </c>
      <c r="AI50" s="331"/>
      <c r="AJ50" s="331"/>
      <c r="AK50" s="331">
        <v>200005</v>
      </c>
      <c r="AL50" s="31"/>
      <c r="AM50" s="331"/>
      <c r="AN50" s="331" t="s">
        <v>2665</v>
      </c>
      <c r="AO50" s="331"/>
      <c r="AP50" s="331" t="s">
        <v>2665</v>
      </c>
      <c r="AQ50" s="85" t="s">
        <v>2666</v>
      </c>
      <c r="AR50" s="87">
        <v>29.04</v>
      </c>
      <c r="AS50" s="122" t="s">
        <v>2698</v>
      </c>
      <c r="AT50" s="122" t="s">
        <v>2699</v>
      </c>
      <c r="AU50" s="123">
        <v>8.92</v>
      </c>
      <c r="AV50" s="123">
        <v>8.01</v>
      </c>
      <c r="AW50" s="123">
        <v>1.62</v>
      </c>
      <c r="AX50" s="36"/>
      <c r="AY50" s="36"/>
      <c r="AZ50" s="88">
        <v>0.32</v>
      </c>
      <c r="BA50" s="326">
        <f>8.5+0.18+0.18</f>
        <v>8.86</v>
      </c>
      <c r="BB50" s="326">
        <f>2.37+0.036</f>
        <v>2.4060000000000001</v>
      </c>
      <c r="BC50" s="324">
        <f>10.62+0.036+0.036</f>
        <v>10.691999999999998</v>
      </c>
      <c r="BD50" s="324">
        <f t="shared" si="18"/>
        <v>0.13189992749999999</v>
      </c>
      <c r="BE50" s="88">
        <v>0.2</v>
      </c>
      <c r="BF50" s="323">
        <v>12.5</v>
      </c>
      <c r="BG50" s="323">
        <v>10.5</v>
      </c>
      <c r="BH50" s="323">
        <v>8.25</v>
      </c>
      <c r="BI50" s="324">
        <f t="shared" si="19"/>
        <v>0.62662760416666663</v>
      </c>
      <c r="BJ50" s="327">
        <v>0.59</v>
      </c>
      <c r="BK50" s="327"/>
      <c r="BL50" s="327"/>
      <c r="BM50" s="124" t="s">
        <v>764</v>
      </c>
      <c r="BN50" s="82">
        <v>3</v>
      </c>
      <c r="BO50" s="82">
        <v>12</v>
      </c>
      <c r="BP50" s="82">
        <v>5</v>
      </c>
      <c r="BQ50" s="27">
        <f t="shared" si="17"/>
        <v>180</v>
      </c>
      <c r="BR50" s="325">
        <f t="shared" si="20"/>
        <v>179</v>
      </c>
      <c r="BS50" s="27" t="s">
        <v>951</v>
      </c>
      <c r="BT50" s="94" t="s">
        <v>766</v>
      </c>
      <c r="BU50" s="81"/>
      <c r="BV50" s="81"/>
      <c r="BW50" s="35"/>
    </row>
    <row r="51" spans="1:77" s="1" customFormat="1" x14ac:dyDescent="0.25">
      <c r="A51" s="106">
        <v>42629</v>
      </c>
      <c r="B51" s="120" t="s">
        <v>14</v>
      </c>
      <c r="C51" s="83" t="s">
        <v>2708</v>
      </c>
      <c r="D51" s="83" t="s">
        <v>735</v>
      </c>
      <c r="E51" s="83" t="s">
        <v>696</v>
      </c>
      <c r="F51" s="95" t="s">
        <v>2709</v>
      </c>
      <c r="G51" s="50" t="s">
        <v>908</v>
      </c>
      <c r="H51" s="41" t="s">
        <v>2710</v>
      </c>
      <c r="I51" s="50" t="s">
        <v>908</v>
      </c>
      <c r="J51" s="41" t="s">
        <v>2711</v>
      </c>
      <c r="K51" s="50" t="s">
        <v>908</v>
      </c>
      <c r="L51" s="41" t="s">
        <v>2710</v>
      </c>
      <c r="M51" s="50" t="s">
        <v>908</v>
      </c>
      <c r="N51" s="41" t="s">
        <v>2712</v>
      </c>
      <c r="O51" s="50" t="s">
        <v>908</v>
      </c>
      <c r="P51" s="41" t="s">
        <v>2713</v>
      </c>
      <c r="Q51" s="34"/>
      <c r="R51" s="34"/>
      <c r="S51" s="34"/>
      <c r="T51" s="34"/>
      <c r="U51" s="25"/>
      <c r="V51" s="33"/>
      <c r="W51" s="25"/>
      <c r="X51" s="33"/>
      <c r="Y51" s="31"/>
      <c r="Z51" s="33"/>
      <c r="AA51" s="25"/>
      <c r="AB51" s="85"/>
      <c r="AC51" s="331"/>
      <c r="AD51" s="41" t="s">
        <v>2714</v>
      </c>
      <c r="AE51" s="331"/>
      <c r="AF51" s="331" t="s">
        <v>2715</v>
      </c>
      <c r="AG51" s="331"/>
      <c r="AH51" s="331" t="s">
        <v>2716</v>
      </c>
      <c r="AI51" s="331"/>
      <c r="AJ51" s="331"/>
      <c r="AK51" s="331"/>
      <c r="AL51" s="31"/>
      <c r="AM51" s="331"/>
      <c r="AN51" s="331"/>
      <c r="AO51" s="331"/>
      <c r="AP51" s="331"/>
      <c r="AQ51" s="85"/>
      <c r="AR51" s="87">
        <v>22.44</v>
      </c>
      <c r="AS51" s="122" t="s">
        <v>2723</v>
      </c>
      <c r="AT51" s="122" t="s">
        <v>2724</v>
      </c>
      <c r="AU51" s="117">
        <v>9.1300000000000008</v>
      </c>
      <c r="AV51" s="117">
        <v>4.57</v>
      </c>
      <c r="AW51" s="117">
        <v>2.44</v>
      </c>
      <c r="AX51" s="330"/>
      <c r="AY51" s="330"/>
      <c r="AZ51" s="88">
        <v>1.02</v>
      </c>
      <c r="BA51" s="326" t="s">
        <v>2725</v>
      </c>
      <c r="BB51" s="326" t="s">
        <v>2725</v>
      </c>
      <c r="BC51" s="326" t="s">
        <v>2725</v>
      </c>
      <c r="BD51" s="324" t="s">
        <v>2725</v>
      </c>
      <c r="BE51" s="88" t="s">
        <v>2725</v>
      </c>
      <c r="BF51" s="323">
        <v>10</v>
      </c>
      <c r="BG51" s="323">
        <v>5.25</v>
      </c>
      <c r="BH51" s="323">
        <v>9.3699999999999992</v>
      </c>
      <c r="BI51" s="324">
        <f>(BF51*BG51*BH51)/1728</f>
        <v>0.2846788194444444</v>
      </c>
      <c r="BJ51" s="327">
        <v>3.36</v>
      </c>
      <c r="BK51" s="327"/>
      <c r="BL51" s="327"/>
      <c r="BM51" s="124"/>
      <c r="BN51" s="82">
        <v>3</v>
      </c>
      <c r="BO51" s="82">
        <v>32</v>
      </c>
      <c r="BP51" s="82">
        <v>4</v>
      </c>
      <c r="BQ51" s="82">
        <v>384</v>
      </c>
      <c r="BR51" s="82">
        <v>519</v>
      </c>
      <c r="BS51" s="82" t="s">
        <v>769</v>
      </c>
      <c r="BT51" s="94"/>
      <c r="BU51" s="81"/>
      <c r="BV51" s="81"/>
      <c r="BW51" s="35"/>
    </row>
    <row r="52" spans="1:77" s="1" customFormat="1" x14ac:dyDescent="0.25">
      <c r="A52" s="106">
        <v>42629</v>
      </c>
      <c r="B52" s="120" t="s">
        <v>14</v>
      </c>
      <c r="C52" s="83" t="s">
        <v>2717</v>
      </c>
      <c r="D52" s="83" t="s">
        <v>735</v>
      </c>
      <c r="E52" s="83" t="s">
        <v>696</v>
      </c>
      <c r="F52" s="95" t="s">
        <v>2718</v>
      </c>
      <c r="G52" s="50" t="s">
        <v>963</v>
      </c>
      <c r="H52" s="41" t="s">
        <v>2719</v>
      </c>
      <c r="I52" s="331"/>
      <c r="J52" s="331"/>
      <c r="K52" s="331"/>
      <c r="L52" s="331"/>
      <c r="M52" s="26"/>
      <c r="N52" s="26"/>
      <c r="O52" s="34"/>
      <c r="P52" s="34"/>
      <c r="Q52" s="34"/>
      <c r="R52" s="34"/>
      <c r="S52" s="34"/>
      <c r="T52" s="34"/>
      <c r="U52" s="25" t="s">
        <v>2720</v>
      </c>
      <c r="V52" s="33"/>
      <c r="W52" s="25"/>
      <c r="X52" s="33"/>
      <c r="Y52" s="31"/>
      <c r="Z52" s="33"/>
      <c r="AA52" s="25"/>
      <c r="AB52" s="85"/>
      <c r="AC52" s="331"/>
      <c r="AD52" s="41"/>
      <c r="AE52" s="331"/>
      <c r="AF52" s="331"/>
      <c r="AG52" s="331"/>
      <c r="AH52" s="331"/>
      <c r="AI52" s="331"/>
      <c r="AJ52" s="331"/>
      <c r="AK52" s="331"/>
      <c r="AL52" s="31"/>
      <c r="AM52" s="331"/>
      <c r="AN52" s="331"/>
      <c r="AO52" s="331"/>
      <c r="AP52" s="331"/>
      <c r="AQ52" s="85"/>
      <c r="AR52" s="87">
        <v>39.96</v>
      </c>
      <c r="AS52" s="122" t="s">
        <v>2726</v>
      </c>
      <c r="AT52" s="122" t="s">
        <v>2727</v>
      </c>
      <c r="AU52" s="117">
        <v>11.38</v>
      </c>
      <c r="AV52" s="117">
        <v>6.95</v>
      </c>
      <c r="AW52" s="117">
        <v>2.74</v>
      </c>
      <c r="AX52" s="330"/>
      <c r="AY52" s="330"/>
      <c r="AZ52" s="88">
        <v>0.69</v>
      </c>
      <c r="BA52" s="326">
        <v>7.16</v>
      </c>
      <c r="BB52" s="326">
        <v>3.03</v>
      </c>
      <c r="BC52" s="326">
        <v>11.57</v>
      </c>
      <c r="BD52" s="324">
        <f>(BA52*BB52*BC52)/1728</f>
        <v>0.14525974305555556</v>
      </c>
      <c r="BE52" s="88">
        <v>0.1</v>
      </c>
      <c r="BF52" s="323">
        <v>18.829999999999998</v>
      </c>
      <c r="BG52" s="323">
        <v>12.06</v>
      </c>
      <c r="BH52" s="323">
        <v>8.14</v>
      </c>
      <c r="BI52" s="324">
        <f t="shared" ref="BI52:BI53" si="21">(BF52*BG52*BH52)/1728</f>
        <v>1.0697401458333333</v>
      </c>
      <c r="BJ52" s="327">
        <v>5.34</v>
      </c>
      <c r="BK52" s="327"/>
      <c r="BL52" s="327"/>
      <c r="BM52" s="124"/>
      <c r="BN52" s="82">
        <v>6</v>
      </c>
      <c r="BO52" s="82">
        <v>7</v>
      </c>
      <c r="BP52" s="82">
        <v>5</v>
      </c>
      <c r="BQ52" s="27">
        <v>210</v>
      </c>
      <c r="BR52" s="325">
        <v>237</v>
      </c>
      <c r="BS52" s="27" t="s">
        <v>765</v>
      </c>
      <c r="BT52" s="94"/>
      <c r="BU52" s="81"/>
      <c r="BV52" s="81"/>
      <c r="BW52" s="35"/>
    </row>
    <row r="53" spans="1:77" s="1" customFormat="1" x14ac:dyDescent="0.25">
      <c r="A53" s="106">
        <v>42629</v>
      </c>
      <c r="B53" s="120" t="s">
        <v>14</v>
      </c>
      <c r="C53" s="83" t="s">
        <v>2721</v>
      </c>
      <c r="D53" s="83" t="s">
        <v>735</v>
      </c>
      <c r="E53" s="83" t="s">
        <v>730</v>
      </c>
      <c r="F53" s="108" t="s">
        <v>2722</v>
      </c>
      <c r="G53" s="50" t="s">
        <v>754</v>
      </c>
      <c r="H53" s="41">
        <v>64119321875</v>
      </c>
      <c r="I53" s="50" t="s">
        <v>754</v>
      </c>
      <c r="J53" s="331">
        <v>64319390445</v>
      </c>
      <c r="K53" s="50" t="s">
        <v>754</v>
      </c>
      <c r="L53" s="331">
        <v>64319297750</v>
      </c>
      <c r="M53" s="26"/>
      <c r="N53" s="26"/>
      <c r="O53" s="34"/>
      <c r="P53" s="34"/>
      <c r="Q53" s="34"/>
      <c r="R53" s="34"/>
      <c r="S53" s="34"/>
      <c r="T53" s="34"/>
      <c r="U53" s="25"/>
      <c r="V53" s="33"/>
      <c r="W53" s="25"/>
      <c r="X53" s="33"/>
      <c r="Y53" s="31"/>
      <c r="Z53" s="33"/>
      <c r="AA53" s="25"/>
      <c r="AB53" s="85"/>
      <c r="AC53" s="331"/>
      <c r="AD53" s="41"/>
      <c r="AE53" s="331"/>
      <c r="AF53" s="331"/>
      <c r="AG53" s="331"/>
      <c r="AH53" s="331"/>
      <c r="AI53" s="331"/>
      <c r="AJ53" s="331"/>
      <c r="AK53" s="331"/>
      <c r="AL53" s="31"/>
      <c r="AM53" s="331"/>
      <c r="AN53" s="331"/>
      <c r="AO53" s="331"/>
      <c r="AP53" s="331"/>
      <c r="AQ53" s="85"/>
      <c r="AR53" s="334">
        <v>37.049999999999997</v>
      </c>
      <c r="AS53" s="122" t="s">
        <v>2728</v>
      </c>
      <c r="AT53" s="122" t="s">
        <v>2729</v>
      </c>
      <c r="AU53" s="123"/>
      <c r="AV53" s="123"/>
      <c r="AW53" s="123"/>
      <c r="AX53" s="36">
        <v>6.52</v>
      </c>
      <c r="AY53" s="36">
        <v>12.38</v>
      </c>
      <c r="AZ53" s="88">
        <v>1.6</v>
      </c>
      <c r="BA53" s="326">
        <v>6.89</v>
      </c>
      <c r="BB53" s="326">
        <v>6.89</v>
      </c>
      <c r="BC53" s="324">
        <v>13.583</v>
      </c>
      <c r="BD53" s="324">
        <f>(BA53*BB53*BC53)/1728</f>
        <v>0.37315598049768517</v>
      </c>
      <c r="BE53" s="88">
        <v>0.13</v>
      </c>
      <c r="BF53" s="323">
        <v>21.707000000000001</v>
      </c>
      <c r="BG53" s="323">
        <v>15.013999999999999</v>
      </c>
      <c r="BH53" s="323">
        <v>15.067</v>
      </c>
      <c r="BI53" s="324">
        <f t="shared" si="21"/>
        <v>2.8417068091238429</v>
      </c>
      <c r="BJ53" s="327">
        <v>10.8</v>
      </c>
      <c r="BK53" s="327"/>
      <c r="BL53" s="327"/>
      <c r="BM53" s="124"/>
      <c r="BN53" s="82">
        <v>6</v>
      </c>
      <c r="BO53" s="82">
        <v>5</v>
      </c>
      <c r="BP53" s="82">
        <v>2</v>
      </c>
      <c r="BQ53" s="27">
        <v>60</v>
      </c>
      <c r="BR53" s="325">
        <v>698</v>
      </c>
      <c r="BS53" s="27" t="s">
        <v>769</v>
      </c>
      <c r="BT53" s="94"/>
      <c r="BU53" s="81"/>
      <c r="BV53" s="81"/>
      <c r="BW53" s="35"/>
    </row>
    <row r="54" spans="1:77" s="1" customFormat="1" x14ac:dyDescent="0.25">
      <c r="A54" s="106">
        <v>42629</v>
      </c>
      <c r="B54" s="120" t="s">
        <v>14</v>
      </c>
      <c r="C54" s="83" t="s">
        <v>2667</v>
      </c>
      <c r="D54" s="83" t="s">
        <v>735</v>
      </c>
      <c r="E54" s="83" t="s">
        <v>730</v>
      </c>
      <c r="F54" s="95" t="s">
        <v>2668</v>
      </c>
      <c r="G54" s="41" t="s">
        <v>2669</v>
      </c>
      <c r="H54" s="96">
        <v>96190645</v>
      </c>
      <c r="I54" s="331"/>
      <c r="J54" s="331"/>
      <c r="K54" s="25"/>
      <c r="L54" s="26"/>
      <c r="M54" s="26"/>
      <c r="N54" s="26"/>
      <c r="O54" s="34"/>
      <c r="P54" s="34"/>
      <c r="Q54" s="34"/>
      <c r="R54" s="34"/>
      <c r="S54" s="34"/>
      <c r="T54" s="34"/>
      <c r="U54" s="25"/>
      <c r="V54" s="33"/>
      <c r="W54" s="25"/>
      <c r="X54" s="33"/>
      <c r="Y54" s="31"/>
      <c r="Z54" s="33"/>
      <c r="AA54" s="25"/>
      <c r="AB54" s="85"/>
      <c r="AC54" s="331"/>
      <c r="AD54" s="41"/>
      <c r="AE54" s="331"/>
      <c r="AF54" s="331"/>
      <c r="AG54" s="331"/>
      <c r="AH54" s="331"/>
      <c r="AI54" s="331"/>
      <c r="AJ54" s="331"/>
      <c r="AK54" s="331"/>
      <c r="AL54" s="31"/>
      <c r="AM54" s="331" t="s">
        <v>2667</v>
      </c>
      <c r="AN54" s="331"/>
      <c r="AO54" s="331"/>
      <c r="AP54" s="331"/>
      <c r="AQ54" s="85"/>
      <c r="AR54" s="334">
        <v>17.59</v>
      </c>
      <c r="AS54" s="122" t="s">
        <v>2700</v>
      </c>
      <c r="AT54" s="122" t="s">
        <v>2701</v>
      </c>
      <c r="AU54" s="123">
        <v>8.56</v>
      </c>
      <c r="AV54" s="123">
        <v>7.68</v>
      </c>
      <c r="AW54" s="123">
        <v>0.98</v>
      </c>
      <c r="AX54" s="36"/>
      <c r="AY54" s="36"/>
      <c r="AZ54" s="88">
        <v>0.35</v>
      </c>
      <c r="BA54" s="326">
        <f>8.14+0.036</f>
        <v>8.1760000000000002</v>
      </c>
      <c r="BB54" s="326">
        <f>1.45+0.036</f>
        <v>1.486</v>
      </c>
      <c r="BC54" s="324">
        <f>9.01+0.036+0.036</f>
        <v>9.081999999999999</v>
      </c>
      <c r="BD54" s="324">
        <f t="shared" si="18"/>
        <v>6.3855373814814806E-2</v>
      </c>
      <c r="BE54" s="88">
        <v>0.12</v>
      </c>
      <c r="BF54" s="323">
        <f>10.12+0.25</f>
        <v>10.37</v>
      </c>
      <c r="BG54" s="323">
        <v>9.5</v>
      </c>
      <c r="BH54" s="323">
        <v>10.62</v>
      </c>
      <c r="BI54" s="324">
        <f t="shared" si="19"/>
        <v>0.60545677083333316</v>
      </c>
      <c r="BJ54" s="327">
        <v>0.56000000000000005</v>
      </c>
      <c r="BK54" s="327"/>
      <c r="BL54" s="327"/>
      <c r="BM54" s="124" t="s">
        <v>764</v>
      </c>
      <c r="BN54" s="82">
        <v>6</v>
      </c>
      <c r="BO54" s="82">
        <v>20</v>
      </c>
      <c r="BP54" s="82">
        <v>3</v>
      </c>
      <c r="BQ54" s="27">
        <f t="shared" si="17"/>
        <v>360</v>
      </c>
      <c r="BR54" s="325">
        <f t="shared" si="20"/>
        <v>252.79999999999998</v>
      </c>
      <c r="BS54" s="27" t="s">
        <v>769</v>
      </c>
      <c r="BT54" s="94" t="s">
        <v>770</v>
      </c>
      <c r="BU54" s="81"/>
      <c r="BV54" s="81"/>
      <c r="BW54" s="35"/>
    </row>
    <row r="55" spans="1:77" s="1" customFormat="1" x14ac:dyDescent="0.25">
      <c r="A55" s="106">
        <v>42629</v>
      </c>
      <c r="B55" s="120" t="s">
        <v>14</v>
      </c>
      <c r="C55" s="82" t="s">
        <v>2670</v>
      </c>
      <c r="D55" s="83" t="s">
        <v>735</v>
      </c>
      <c r="E55" s="83" t="s">
        <v>978</v>
      </c>
      <c r="F55" s="95" t="s">
        <v>2671</v>
      </c>
      <c r="G55" s="41" t="s">
        <v>737</v>
      </c>
      <c r="H55" s="96">
        <v>12667194</v>
      </c>
      <c r="I55" s="331" t="s">
        <v>738</v>
      </c>
      <c r="J55" s="331" t="s">
        <v>2672</v>
      </c>
      <c r="K55" s="25" t="s">
        <v>737</v>
      </c>
      <c r="L55" s="26">
        <v>12667194</v>
      </c>
      <c r="M55" s="26" t="s">
        <v>737</v>
      </c>
      <c r="N55" s="26">
        <v>12674698</v>
      </c>
      <c r="O55" s="34"/>
      <c r="P55" s="34"/>
      <c r="Q55" s="34"/>
      <c r="R55" s="34"/>
      <c r="S55" s="34"/>
      <c r="T55" s="34"/>
      <c r="U55" s="25"/>
      <c r="V55" s="33"/>
      <c r="W55" s="25"/>
      <c r="X55" s="33"/>
      <c r="Y55" s="31"/>
      <c r="Z55" s="33"/>
      <c r="AA55" s="25"/>
      <c r="AB55" s="85"/>
      <c r="AC55" s="331"/>
      <c r="AD55" s="41"/>
      <c r="AE55" s="331"/>
      <c r="AF55" s="331"/>
      <c r="AG55" s="331"/>
      <c r="AH55" s="331"/>
      <c r="AI55" s="331"/>
      <c r="AJ55" s="331"/>
      <c r="AK55" s="331"/>
      <c r="AL55" s="31"/>
      <c r="AM55" s="331"/>
      <c r="AN55" s="331" t="s">
        <v>2673</v>
      </c>
      <c r="AO55" s="331"/>
      <c r="AP55" s="331" t="s">
        <v>2673</v>
      </c>
      <c r="AQ55" s="85"/>
      <c r="AR55" s="334">
        <v>7.28</v>
      </c>
      <c r="AS55" s="122" t="s">
        <v>2702</v>
      </c>
      <c r="AT55" s="122" t="s">
        <v>2703</v>
      </c>
      <c r="AU55" s="117"/>
      <c r="AV55" s="117"/>
      <c r="AW55" s="117"/>
      <c r="AX55" s="330">
        <v>3.02</v>
      </c>
      <c r="AY55" s="330">
        <v>3.5</v>
      </c>
      <c r="AZ55" s="88">
        <v>0.71</v>
      </c>
      <c r="BA55" s="324">
        <f>3.156+0.036</f>
        <v>3.1920000000000002</v>
      </c>
      <c r="BB55" s="324">
        <f>3.156+0.036</f>
        <v>3.1920000000000002</v>
      </c>
      <c r="BC55" s="326">
        <f>4.036+0.036</f>
        <v>4.0719999999999992</v>
      </c>
      <c r="BD55" s="324">
        <f t="shared" si="18"/>
        <v>2.4009869333333329E-2</v>
      </c>
      <c r="BE55" s="88">
        <v>0.1</v>
      </c>
      <c r="BF55" s="323">
        <v>13</v>
      </c>
      <c r="BG55" s="323">
        <f>9.562+0.25</f>
        <v>9.8119999999999994</v>
      </c>
      <c r="BH55" s="323">
        <f>4.137+0.5</f>
        <v>4.6369999999999996</v>
      </c>
      <c r="BI55" s="324">
        <f t="shared" si="19"/>
        <v>0.34229003009259251</v>
      </c>
      <c r="BJ55" s="91">
        <v>0.25</v>
      </c>
      <c r="BK55" s="91"/>
      <c r="BL55" s="91"/>
      <c r="BM55" s="124" t="s">
        <v>764</v>
      </c>
      <c r="BN55" s="82">
        <v>12</v>
      </c>
      <c r="BO55" s="82">
        <v>14</v>
      </c>
      <c r="BP55" s="82">
        <v>10</v>
      </c>
      <c r="BQ55" s="27">
        <f t="shared" si="17"/>
        <v>1680</v>
      </c>
      <c r="BR55" s="325">
        <f t="shared" si="20"/>
        <v>1445.7999999999997</v>
      </c>
      <c r="BS55" s="27" t="s">
        <v>886</v>
      </c>
      <c r="BT55" s="94" t="s">
        <v>780</v>
      </c>
      <c r="BU55" s="81"/>
      <c r="BV55" s="81"/>
      <c r="BW55" s="35"/>
    </row>
    <row r="56" spans="1:77" s="1" customFormat="1" x14ac:dyDescent="0.25">
      <c r="A56" s="106">
        <v>42629</v>
      </c>
      <c r="B56" s="84" t="s">
        <v>14</v>
      </c>
      <c r="C56" s="83" t="s">
        <v>2674</v>
      </c>
      <c r="D56" s="83" t="s">
        <v>735</v>
      </c>
      <c r="E56" s="83" t="s">
        <v>730</v>
      </c>
      <c r="F56" s="95" t="s">
        <v>2675</v>
      </c>
      <c r="G56" s="41" t="s">
        <v>2676</v>
      </c>
      <c r="H56" s="96" t="s">
        <v>2677</v>
      </c>
      <c r="I56" s="331" t="s">
        <v>908</v>
      </c>
      <c r="J56" s="331" t="s">
        <v>2678</v>
      </c>
      <c r="K56" s="25"/>
      <c r="L56" s="26"/>
      <c r="M56" s="26"/>
      <c r="N56" s="26"/>
      <c r="O56" s="34"/>
      <c r="P56" s="34"/>
      <c r="Q56" s="34"/>
      <c r="R56" s="34"/>
      <c r="S56" s="34"/>
      <c r="T56" s="34"/>
      <c r="U56" s="25"/>
      <c r="V56" s="33"/>
      <c r="W56" s="25"/>
      <c r="X56" s="33"/>
      <c r="Y56" s="31"/>
      <c r="Z56" s="33"/>
      <c r="AA56" s="25"/>
      <c r="AB56" s="85"/>
      <c r="AC56" s="331"/>
      <c r="AD56" s="41" t="s">
        <v>2679</v>
      </c>
      <c r="AE56" s="331"/>
      <c r="AF56" s="331"/>
      <c r="AG56" s="331"/>
      <c r="AH56" s="331" t="s">
        <v>2680</v>
      </c>
      <c r="AI56" s="331"/>
      <c r="AJ56" s="331"/>
      <c r="AK56" s="331"/>
      <c r="AL56" s="31"/>
      <c r="AM56" s="331"/>
      <c r="AN56" s="331"/>
      <c r="AO56" s="331"/>
      <c r="AP56" s="331"/>
      <c r="AQ56" s="85"/>
      <c r="AR56" s="87">
        <v>20.04</v>
      </c>
      <c r="AS56" s="122" t="s">
        <v>2704</v>
      </c>
      <c r="AT56" s="122" t="s">
        <v>2705</v>
      </c>
      <c r="AU56" s="123">
        <v>10</v>
      </c>
      <c r="AV56" s="123">
        <v>9.25</v>
      </c>
      <c r="AW56" s="123">
        <v>1.1200000000000001</v>
      </c>
      <c r="AX56" s="36"/>
      <c r="AY56" s="36"/>
      <c r="AZ56" s="88">
        <v>0.21</v>
      </c>
      <c r="BA56" s="326">
        <f>10.031+0.018+0.018</f>
        <v>10.067000000000002</v>
      </c>
      <c r="BB56" s="326">
        <f>1.61+0.018+0.018</f>
        <v>1.6460000000000001</v>
      </c>
      <c r="BC56" s="324">
        <f>10.625+(0.018*4)</f>
        <v>10.696999999999999</v>
      </c>
      <c r="BD56" s="324">
        <f t="shared" si="18"/>
        <v>0.10257656629282409</v>
      </c>
      <c r="BE56" s="88">
        <v>0.15</v>
      </c>
      <c r="BF56" s="323">
        <v>12</v>
      </c>
      <c r="BG56" s="323">
        <v>10.37</v>
      </c>
      <c r="BH56" s="323">
        <v>10.62</v>
      </c>
      <c r="BI56" s="324">
        <f t="shared" si="19"/>
        <v>0.76478749999999995</v>
      </c>
      <c r="BJ56" s="327">
        <v>0.66</v>
      </c>
      <c r="BK56" s="327"/>
      <c r="BL56" s="327"/>
      <c r="BM56" s="124" t="s">
        <v>764</v>
      </c>
      <c r="BN56" s="82">
        <v>6</v>
      </c>
      <c r="BO56" s="82">
        <v>12</v>
      </c>
      <c r="BP56" s="82">
        <v>4</v>
      </c>
      <c r="BQ56" s="27">
        <f t="shared" si="17"/>
        <v>288</v>
      </c>
      <c r="BR56" s="325">
        <f t="shared" si="20"/>
        <v>185.36</v>
      </c>
      <c r="BS56" s="27" t="s">
        <v>886</v>
      </c>
      <c r="BT56" s="94" t="s">
        <v>770</v>
      </c>
      <c r="BU56" s="81"/>
      <c r="BV56" s="81"/>
      <c r="BW56" s="35"/>
    </row>
    <row r="57" spans="1:77" s="1" customFormat="1" x14ac:dyDescent="0.25">
      <c r="A57" s="106">
        <v>42629</v>
      </c>
      <c r="B57" s="84" t="s">
        <v>14</v>
      </c>
      <c r="C57" s="82" t="s">
        <v>2681</v>
      </c>
      <c r="D57" s="83" t="s">
        <v>735</v>
      </c>
      <c r="E57" s="83" t="s">
        <v>940</v>
      </c>
      <c r="F57" s="95" t="s">
        <v>2682</v>
      </c>
      <c r="G57" s="41" t="s">
        <v>908</v>
      </c>
      <c r="H57" s="41" t="s">
        <v>2683</v>
      </c>
      <c r="I57" s="331"/>
      <c r="J57" s="331"/>
      <c r="K57" s="25"/>
      <c r="L57" s="26"/>
      <c r="M57" s="26"/>
      <c r="N57" s="26"/>
      <c r="O57" s="34"/>
      <c r="P57" s="34"/>
      <c r="Q57" s="34"/>
      <c r="R57" s="34"/>
      <c r="S57" s="34"/>
      <c r="T57" s="34"/>
      <c r="U57" s="25"/>
      <c r="V57" s="33"/>
      <c r="W57" s="25">
        <v>94717</v>
      </c>
      <c r="X57" s="33"/>
      <c r="Y57" s="31"/>
      <c r="Z57" s="33"/>
      <c r="AA57" s="25"/>
      <c r="AB57" s="85"/>
      <c r="AC57" s="331"/>
      <c r="AD57" s="41" t="s">
        <v>2684</v>
      </c>
      <c r="AE57" s="331"/>
      <c r="AF57" s="331"/>
      <c r="AG57" s="331"/>
      <c r="AH57" s="331" t="s">
        <v>2685</v>
      </c>
      <c r="AI57" s="331"/>
      <c r="AJ57" s="331"/>
      <c r="AK57" s="331"/>
      <c r="AL57" s="31" t="s">
        <v>2686</v>
      </c>
      <c r="AM57" s="331"/>
      <c r="AN57" s="331" t="s">
        <v>2687</v>
      </c>
      <c r="AO57" s="331"/>
      <c r="AP57" s="331" t="s">
        <v>2687</v>
      </c>
      <c r="AQ57" s="85" t="s">
        <v>2688</v>
      </c>
      <c r="AR57" s="87">
        <v>8.07</v>
      </c>
      <c r="AS57" s="122" t="s">
        <v>2706</v>
      </c>
      <c r="AT57" s="122" t="s">
        <v>2707</v>
      </c>
      <c r="AU57" s="117"/>
      <c r="AV57" s="117"/>
      <c r="AW57" s="117"/>
      <c r="AX57" s="330">
        <v>2.56</v>
      </c>
      <c r="AY57" s="330">
        <v>4.0350000000000001</v>
      </c>
      <c r="AZ57" s="88">
        <v>0.13</v>
      </c>
      <c r="BA57" s="326">
        <f>2.68+0.018+0.018</f>
        <v>2.7159999999999997</v>
      </c>
      <c r="BB57" s="326">
        <f>2.68+0.018+0.018</f>
        <v>2.7159999999999997</v>
      </c>
      <c r="BC57" s="326">
        <f>4.25+(0.018*4)</f>
        <v>4.3220000000000001</v>
      </c>
      <c r="BD57" s="324">
        <f t="shared" si="18"/>
        <v>1.8450177796296291E-2</v>
      </c>
      <c r="BE57" s="88">
        <v>0.08</v>
      </c>
      <c r="BF57" s="323">
        <f>8.43+0.25</f>
        <v>8.68</v>
      </c>
      <c r="BG57" s="323">
        <v>6</v>
      </c>
      <c r="BH57" s="323">
        <f>4.65+0.5</f>
        <v>5.15</v>
      </c>
      <c r="BI57" s="324">
        <f t="shared" si="19"/>
        <v>0.15521527777777777</v>
      </c>
      <c r="BJ57" s="91">
        <v>0.2</v>
      </c>
      <c r="BK57" s="91"/>
      <c r="BL57" s="91"/>
      <c r="BM57" s="124" t="s">
        <v>764</v>
      </c>
      <c r="BN57" s="82">
        <v>6</v>
      </c>
      <c r="BO57" s="82">
        <v>33</v>
      </c>
      <c r="BP57" s="82">
        <v>8</v>
      </c>
      <c r="BQ57" s="27">
        <f t="shared" si="17"/>
        <v>1584</v>
      </c>
      <c r="BR57" s="325">
        <f t="shared" si="20"/>
        <v>435.44000000000005</v>
      </c>
      <c r="BS57" s="27" t="s">
        <v>951</v>
      </c>
      <c r="BT57" s="94" t="s">
        <v>780</v>
      </c>
      <c r="BU57" s="81"/>
      <c r="BV57" s="81"/>
      <c r="BW57" s="35"/>
    </row>
    <row r="58" spans="1:77" s="1" customFormat="1" ht="30" x14ac:dyDescent="0.25">
      <c r="A58" s="106">
        <v>42534</v>
      </c>
      <c r="B58" s="120" t="s">
        <v>14</v>
      </c>
      <c r="C58" s="120" t="s">
        <v>717</v>
      </c>
      <c r="D58" s="120" t="s">
        <v>718</v>
      </c>
      <c r="E58" s="121" t="s">
        <v>696</v>
      </c>
      <c r="F58" s="95" t="s">
        <v>719</v>
      </c>
      <c r="G58" s="41" t="s">
        <v>720</v>
      </c>
      <c r="H58" s="96" t="s">
        <v>721</v>
      </c>
      <c r="I58" s="298"/>
      <c r="J58" s="298"/>
      <c r="K58" s="25"/>
      <c r="L58" s="26"/>
      <c r="M58" s="26"/>
      <c r="N58" s="26"/>
      <c r="O58" s="34"/>
      <c r="P58" s="34"/>
      <c r="Q58" s="34"/>
      <c r="R58" s="34"/>
      <c r="S58" s="34"/>
      <c r="T58" s="34"/>
      <c r="U58" s="25"/>
      <c r="V58" s="33"/>
      <c r="W58" s="25"/>
      <c r="X58" s="33"/>
      <c r="Y58" s="31"/>
      <c r="Z58" s="33"/>
      <c r="AA58" s="25"/>
      <c r="AB58" s="85"/>
      <c r="AC58" s="298"/>
      <c r="AD58" s="41"/>
      <c r="AE58" s="298" t="s">
        <v>722</v>
      </c>
      <c r="AF58" s="298"/>
      <c r="AG58" s="298"/>
      <c r="AH58" s="298"/>
      <c r="AI58" s="298"/>
      <c r="AJ58" s="298" t="s">
        <v>723</v>
      </c>
      <c r="AK58" s="298"/>
      <c r="AL58" s="31" t="s">
        <v>724</v>
      </c>
      <c r="AM58" s="298" t="s">
        <v>725</v>
      </c>
      <c r="AN58" s="298" t="s">
        <v>726</v>
      </c>
      <c r="AO58" s="298"/>
      <c r="AP58" s="298" t="s">
        <v>727</v>
      </c>
      <c r="AQ58" s="85" t="s">
        <v>728</v>
      </c>
      <c r="AR58" s="87">
        <v>13.07</v>
      </c>
      <c r="AS58" s="312" t="s">
        <v>762</v>
      </c>
      <c r="AT58" s="312" t="s">
        <v>763</v>
      </c>
      <c r="AU58" s="313">
        <v>9.2100000000000009</v>
      </c>
      <c r="AV58" s="313">
        <v>8.0299999999999994</v>
      </c>
      <c r="AW58" s="313">
        <v>1.73</v>
      </c>
      <c r="AX58" s="314"/>
      <c r="AY58" s="314"/>
      <c r="AZ58" s="315">
        <v>0.3</v>
      </c>
      <c r="BA58" s="316">
        <v>8.5359999999999996</v>
      </c>
      <c r="BB58" s="316">
        <v>2.4060000000000001</v>
      </c>
      <c r="BC58" s="317">
        <v>10.691999999999998</v>
      </c>
      <c r="BD58" s="317">
        <v>0.12707649899999998</v>
      </c>
      <c r="BE58" s="315">
        <v>0.2</v>
      </c>
      <c r="BF58" s="318">
        <v>12.25</v>
      </c>
      <c r="BG58" s="318">
        <v>10.25</v>
      </c>
      <c r="BH58" s="318">
        <v>8.25</v>
      </c>
      <c r="BI58" s="317">
        <v>0.59947374131944442</v>
      </c>
      <c r="BJ58" s="319">
        <v>0.59</v>
      </c>
      <c r="BK58" s="319"/>
      <c r="BL58" s="319"/>
      <c r="BM58" s="287" t="s">
        <v>764</v>
      </c>
      <c r="BN58" s="85">
        <v>3</v>
      </c>
      <c r="BO58" s="85">
        <v>12</v>
      </c>
      <c r="BP58" s="85">
        <v>5</v>
      </c>
      <c r="BQ58" s="192">
        <v>180</v>
      </c>
      <c r="BR58" s="320">
        <v>175.39999999999998</v>
      </c>
      <c r="BS58" s="192" t="s">
        <v>765</v>
      </c>
      <c r="BT58" s="107" t="s">
        <v>766</v>
      </c>
      <c r="BU58" s="81"/>
      <c r="BV58" s="81"/>
      <c r="BW58" s="35"/>
    </row>
    <row r="59" spans="1:77" s="1" customFormat="1" x14ac:dyDescent="0.25">
      <c r="A59" s="106">
        <v>42534</v>
      </c>
      <c r="B59" s="120" t="s">
        <v>14</v>
      </c>
      <c r="C59" s="120" t="s">
        <v>729</v>
      </c>
      <c r="D59" s="120" t="s">
        <v>718</v>
      </c>
      <c r="E59" s="120" t="s">
        <v>730</v>
      </c>
      <c r="F59" s="95" t="s">
        <v>731</v>
      </c>
      <c r="G59" s="85" t="s">
        <v>732</v>
      </c>
      <c r="H59" s="31" t="s">
        <v>733</v>
      </c>
      <c r="I59" s="298"/>
      <c r="J59" s="298"/>
      <c r="K59" s="25"/>
      <c r="L59" s="26"/>
      <c r="M59" s="26"/>
      <c r="N59" s="26"/>
      <c r="O59" s="34"/>
      <c r="P59" s="34"/>
      <c r="Q59" s="34"/>
      <c r="R59" s="34"/>
      <c r="S59" s="34"/>
      <c r="T59" s="34"/>
      <c r="U59" s="25"/>
      <c r="V59" s="33"/>
      <c r="W59" s="25"/>
      <c r="X59" s="33"/>
      <c r="Y59" s="31"/>
      <c r="Z59" s="33"/>
      <c r="AA59" s="25"/>
      <c r="AB59" s="85"/>
      <c r="AC59" s="85"/>
      <c r="AD59" s="41"/>
      <c r="AE59" s="298"/>
      <c r="AF59" s="298"/>
      <c r="AG59" s="298"/>
      <c r="AH59" s="298"/>
      <c r="AI59" s="298"/>
      <c r="AJ59" s="298"/>
      <c r="AK59" s="298"/>
      <c r="AL59" s="85"/>
      <c r="AM59" s="298"/>
      <c r="AN59" s="298"/>
      <c r="AO59" s="298"/>
      <c r="AP59" s="298"/>
      <c r="AQ59" s="85">
        <v>49525</v>
      </c>
      <c r="AR59" s="87">
        <v>20.85</v>
      </c>
      <c r="AS59" s="312" t="s">
        <v>767</v>
      </c>
      <c r="AT59" s="312" t="s">
        <v>768</v>
      </c>
      <c r="AU59" s="313">
        <v>9.02</v>
      </c>
      <c r="AV59" s="313">
        <v>7.87</v>
      </c>
      <c r="AW59" s="313">
        <v>1.18</v>
      </c>
      <c r="AX59" s="314"/>
      <c r="AY59" s="314"/>
      <c r="AZ59" s="315">
        <v>0.13</v>
      </c>
      <c r="BA59" s="317">
        <v>8.9659999999999993</v>
      </c>
      <c r="BB59" s="317">
        <v>1.3460000000000001</v>
      </c>
      <c r="BC59" s="317">
        <v>9.8219999999999992</v>
      </c>
      <c r="BD59" s="317">
        <v>6.8596188652777779E-2</v>
      </c>
      <c r="BE59" s="315">
        <v>0.12</v>
      </c>
      <c r="BF59" s="318">
        <v>10.5</v>
      </c>
      <c r="BG59" s="318">
        <v>8.75</v>
      </c>
      <c r="BH59" s="318">
        <v>9.75</v>
      </c>
      <c r="BI59" s="317">
        <v>0.51839192708333337</v>
      </c>
      <c r="BJ59" s="319">
        <v>0.28000000000000003</v>
      </c>
      <c r="BK59" s="319"/>
      <c r="BL59" s="319"/>
      <c r="BM59" s="287" t="s">
        <v>764</v>
      </c>
      <c r="BN59" s="85">
        <v>6</v>
      </c>
      <c r="BO59" s="85">
        <v>18</v>
      </c>
      <c r="BP59" s="85">
        <v>4</v>
      </c>
      <c r="BQ59" s="192">
        <v>432</v>
      </c>
      <c r="BR59" s="320">
        <v>178.16</v>
      </c>
      <c r="BS59" s="192" t="s">
        <v>769</v>
      </c>
      <c r="BT59" s="107" t="s">
        <v>770</v>
      </c>
      <c r="BU59" s="81"/>
      <c r="BV59" s="81"/>
      <c r="BW59" s="81"/>
    </row>
    <row r="60" spans="1:77" s="1" customFormat="1" ht="30" x14ac:dyDescent="0.25">
      <c r="A60" s="106">
        <v>42534</v>
      </c>
      <c r="B60" s="120" t="s">
        <v>14</v>
      </c>
      <c r="C60" s="120" t="s">
        <v>734</v>
      </c>
      <c r="D60" s="120" t="s">
        <v>735</v>
      </c>
      <c r="E60" s="120" t="s">
        <v>730</v>
      </c>
      <c r="F60" s="50" t="s">
        <v>736</v>
      </c>
      <c r="G60" s="50" t="s">
        <v>737</v>
      </c>
      <c r="H60" s="41">
        <v>13503677</v>
      </c>
      <c r="I60" s="298" t="s">
        <v>738</v>
      </c>
      <c r="J60" s="298" t="s">
        <v>739</v>
      </c>
      <c r="K60" s="25"/>
      <c r="L60" s="26"/>
      <c r="M60" s="26"/>
      <c r="N60" s="26"/>
      <c r="O60" s="34"/>
      <c r="P60" s="34"/>
      <c r="Q60" s="34"/>
      <c r="R60" s="34"/>
      <c r="S60" s="34"/>
      <c r="T60" s="34"/>
      <c r="U60" s="25"/>
      <c r="V60" s="33"/>
      <c r="W60" s="25"/>
      <c r="X60" s="33"/>
      <c r="Y60" s="31"/>
      <c r="Z60" s="33"/>
      <c r="AA60" s="25"/>
      <c r="AB60" s="85" t="s">
        <v>740</v>
      </c>
      <c r="AC60" s="298"/>
      <c r="AD60" s="41"/>
      <c r="AE60" s="298"/>
      <c r="AF60" s="298"/>
      <c r="AG60" s="298"/>
      <c r="AH60" s="298"/>
      <c r="AI60" s="298"/>
      <c r="AJ60" s="85"/>
      <c r="AK60" s="298"/>
      <c r="AL60" s="85" t="s">
        <v>741</v>
      </c>
      <c r="AM60" s="298" t="s">
        <v>742</v>
      </c>
      <c r="AN60" s="298" t="s">
        <v>743</v>
      </c>
      <c r="AO60" s="298" t="s">
        <v>744</v>
      </c>
      <c r="AP60" s="298" t="s">
        <v>745</v>
      </c>
      <c r="AQ60" s="85">
        <v>24191</v>
      </c>
      <c r="AR60" s="87">
        <v>20.88</v>
      </c>
      <c r="AS60" s="312" t="s">
        <v>771</v>
      </c>
      <c r="AT60" s="312" t="s">
        <v>772</v>
      </c>
      <c r="AU60" s="313">
        <v>9.4499999999999993</v>
      </c>
      <c r="AV60" s="313">
        <v>8.0299999999999994</v>
      </c>
      <c r="AW60" s="313">
        <v>1.38</v>
      </c>
      <c r="AX60" s="314"/>
      <c r="AY60" s="314"/>
      <c r="AZ60" s="315">
        <v>0.25</v>
      </c>
      <c r="BA60" s="316">
        <v>9.2859999999999996</v>
      </c>
      <c r="BB60" s="316">
        <v>1.8160000000000001</v>
      </c>
      <c r="BC60" s="317">
        <v>9.7319999999999993</v>
      </c>
      <c r="BD60" s="317">
        <v>9.4973596777777766E-2</v>
      </c>
      <c r="BE60" s="315">
        <v>0.12</v>
      </c>
      <c r="BF60" s="318">
        <v>10.5</v>
      </c>
      <c r="BG60" s="318">
        <v>10</v>
      </c>
      <c r="BH60" s="318">
        <v>6.25</v>
      </c>
      <c r="BI60" s="317">
        <v>0.37977430555555558</v>
      </c>
      <c r="BJ60" s="319">
        <v>0.42</v>
      </c>
      <c r="BK60" s="319"/>
      <c r="BL60" s="319"/>
      <c r="BM60" s="287" t="s">
        <v>764</v>
      </c>
      <c r="BN60" s="85">
        <v>3</v>
      </c>
      <c r="BO60" s="85">
        <v>16</v>
      </c>
      <c r="BP60" s="85">
        <v>7</v>
      </c>
      <c r="BQ60" s="192">
        <v>336</v>
      </c>
      <c r="BR60" s="320">
        <v>221.35999999999999</v>
      </c>
      <c r="BS60" s="192" t="s">
        <v>769</v>
      </c>
      <c r="BT60" s="107" t="s">
        <v>770</v>
      </c>
      <c r="BU60" s="81"/>
      <c r="BV60" s="81"/>
      <c r="BW60" s="81"/>
      <c r="BX60" s="81"/>
      <c r="BY60" s="81"/>
    </row>
    <row r="61" spans="1:77" s="1" customFormat="1" x14ac:dyDescent="0.25">
      <c r="A61" s="106">
        <v>42534</v>
      </c>
      <c r="B61" s="120" t="s">
        <v>14</v>
      </c>
      <c r="C61" s="120" t="s">
        <v>746</v>
      </c>
      <c r="D61" s="120" t="s">
        <v>735</v>
      </c>
      <c r="E61" s="120" t="s">
        <v>730</v>
      </c>
      <c r="F61" s="50" t="s">
        <v>747</v>
      </c>
      <c r="G61" s="50" t="s">
        <v>737</v>
      </c>
      <c r="H61" s="41">
        <v>22743911</v>
      </c>
      <c r="I61" s="298" t="s">
        <v>738</v>
      </c>
      <c r="J61" s="298" t="s">
        <v>748</v>
      </c>
      <c r="K61" s="25"/>
      <c r="L61" s="26"/>
      <c r="M61" s="26"/>
      <c r="N61" s="26"/>
      <c r="O61" s="34"/>
      <c r="P61" s="34"/>
      <c r="Q61" s="34"/>
      <c r="R61" s="34"/>
      <c r="S61" s="34"/>
      <c r="T61" s="34"/>
      <c r="U61" s="25" t="s">
        <v>749</v>
      </c>
      <c r="V61" s="33"/>
      <c r="W61" s="25"/>
      <c r="X61" s="33"/>
      <c r="Y61" s="31"/>
      <c r="Z61" s="33"/>
      <c r="AA61" s="25"/>
      <c r="AB61" s="85"/>
      <c r="AC61" s="24"/>
      <c r="AD61" s="41"/>
      <c r="AE61" s="298"/>
      <c r="AF61" s="298"/>
      <c r="AG61" s="298"/>
      <c r="AH61" s="298"/>
      <c r="AI61" s="298"/>
      <c r="AJ61" s="298"/>
      <c r="AK61" s="298"/>
      <c r="AL61" s="24"/>
      <c r="AM61" s="298" t="s">
        <v>746</v>
      </c>
      <c r="AN61" s="298"/>
      <c r="AO61" s="298"/>
      <c r="AP61" s="298" t="s">
        <v>750</v>
      </c>
      <c r="AQ61" s="85" t="s">
        <v>751</v>
      </c>
      <c r="AR61" s="87">
        <v>21.42</v>
      </c>
      <c r="AS61" s="312" t="s">
        <v>773</v>
      </c>
      <c r="AT61" s="312" t="s">
        <v>774</v>
      </c>
      <c r="AU61" s="313">
        <v>9.4499999999999993</v>
      </c>
      <c r="AV61" s="313">
        <v>7.99</v>
      </c>
      <c r="AW61" s="313">
        <v>1.18</v>
      </c>
      <c r="AX61" s="314"/>
      <c r="AY61" s="314"/>
      <c r="AZ61" s="315">
        <v>0.25</v>
      </c>
      <c r="BA61" s="316">
        <v>8.9659999999999993</v>
      </c>
      <c r="BB61" s="316">
        <v>1.3460000000000001</v>
      </c>
      <c r="BC61" s="317">
        <v>9.8219999999999992</v>
      </c>
      <c r="BD61" s="317">
        <v>6.8596188652777779E-2</v>
      </c>
      <c r="BE61" s="315">
        <v>0.12</v>
      </c>
      <c r="BF61" s="318">
        <v>10.5</v>
      </c>
      <c r="BG61" s="318">
        <v>8.75</v>
      </c>
      <c r="BH61" s="318">
        <v>9.75</v>
      </c>
      <c r="BI61" s="317">
        <v>0.51839192708333337</v>
      </c>
      <c r="BJ61" s="319">
        <v>0.28000000000000003</v>
      </c>
      <c r="BK61" s="319"/>
      <c r="BL61" s="319"/>
      <c r="BM61" s="287" t="s">
        <v>764</v>
      </c>
      <c r="BN61" s="85">
        <v>6</v>
      </c>
      <c r="BO61" s="85">
        <v>18</v>
      </c>
      <c r="BP61" s="85">
        <v>4</v>
      </c>
      <c r="BQ61" s="192">
        <v>432</v>
      </c>
      <c r="BR61" s="320">
        <v>230</v>
      </c>
      <c r="BS61" s="192" t="s">
        <v>769</v>
      </c>
      <c r="BT61" s="107" t="s">
        <v>770</v>
      </c>
      <c r="BU61" s="81"/>
      <c r="BV61" s="81"/>
      <c r="BW61" s="35"/>
    </row>
    <row r="62" spans="1:77" s="1" customFormat="1" x14ac:dyDescent="0.25">
      <c r="A62" s="106">
        <v>42534</v>
      </c>
      <c r="B62" s="120" t="s">
        <v>14</v>
      </c>
      <c r="C62" s="120" t="s">
        <v>752</v>
      </c>
      <c r="D62" s="120" t="s">
        <v>735</v>
      </c>
      <c r="E62" s="120" t="s">
        <v>730</v>
      </c>
      <c r="F62" s="95" t="s">
        <v>753</v>
      </c>
      <c r="G62" s="41" t="s">
        <v>754</v>
      </c>
      <c r="H62" s="96">
        <v>64119237555</v>
      </c>
      <c r="I62" s="298"/>
      <c r="J62" s="298"/>
      <c r="K62" s="25"/>
      <c r="L62" s="26"/>
      <c r="M62" s="26"/>
      <c r="N62" s="26"/>
      <c r="O62" s="34"/>
      <c r="P62" s="34"/>
      <c r="Q62" s="34"/>
      <c r="R62" s="34"/>
      <c r="S62" s="34"/>
      <c r="T62" s="34"/>
      <c r="U62" s="25"/>
      <c r="V62" s="33"/>
      <c r="W62" s="25" t="s">
        <v>755</v>
      </c>
      <c r="X62" s="33"/>
      <c r="Y62" s="31"/>
      <c r="Z62" s="33"/>
      <c r="AA62" s="25"/>
      <c r="AB62" s="85"/>
      <c r="AC62" s="298"/>
      <c r="AD62" s="41"/>
      <c r="AE62" s="298"/>
      <c r="AF62" s="298" t="s">
        <v>716</v>
      </c>
      <c r="AG62" s="298"/>
      <c r="AH62" s="298" t="s">
        <v>756</v>
      </c>
      <c r="AI62" s="298"/>
      <c r="AJ62" s="298"/>
      <c r="AK62" s="298">
        <v>4255</v>
      </c>
      <c r="AL62" s="31"/>
      <c r="AM62" s="298"/>
      <c r="AN62" s="298"/>
      <c r="AO62" s="298"/>
      <c r="AP62" s="298"/>
      <c r="AQ62" s="85">
        <v>24255</v>
      </c>
      <c r="AR62" s="87">
        <v>39.42</v>
      </c>
      <c r="AS62" s="312" t="s">
        <v>775</v>
      </c>
      <c r="AT62" s="312" t="s">
        <v>776</v>
      </c>
      <c r="AU62" s="313">
        <v>9.69</v>
      </c>
      <c r="AV62" s="313">
        <v>7.8</v>
      </c>
      <c r="AW62" s="313">
        <v>1.61</v>
      </c>
      <c r="AX62" s="314"/>
      <c r="AY62" s="314"/>
      <c r="AZ62" s="315">
        <v>0.3</v>
      </c>
      <c r="BA62" s="316">
        <v>8.5359999999999996</v>
      </c>
      <c r="BB62" s="316">
        <v>2.4060000000000001</v>
      </c>
      <c r="BC62" s="317">
        <v>10.691999999999998</v>
      </c>
      <c r="BD62" s="317">
        <v>0.12707649899999998</v>
      </c>
      <c r="BE62" s="315">
        <v>0.2</v>
      </c>
      <c r="BF62" s="318">
        <v>15</v>
      </c>
      <c r="BG62" s="318">
        <v>11.25</v>
      </c>
      <c r="BH62" s="318">
        <v>9.3800000000000008</v>
      </c>
      <c r="BI62" s="317">
        <v>0.916015625</v>
      </c>
      <c r="BJ62" s="319">
        <v>0.78</v>
      </c>
      <c r="BK62" s="319"/>
      <c r="BL62" s="319"/>
      <c r="BM62" s="287" t="s">
        <v>764</v>
      </c>
      <c r="BN62" s="85">
        <v>6</v>
      </c>
      <c r="BO62" s="85">
        <v>10</v>
      </c>
      <c r="BP62" s="85">
        <v>4</v>
      </c>
      <c r="BQ62" s="192">
        <v>240</v>
      </c>
      <c r="BR62" s="320">
        <v>201.20000000000002</v>
      </c>
      <c r="BS62" s="192" t="s">
        <v>769</v>
      </c>
      <c r="BT62" s="107" t="s">
        <v>770</v>
      </c>
      <c r="BU62" s="81"/>
      <c r="BV62" s="81"/>
      <c r="BW62" s="35"/>
    </row>
    <row r="63" spans="1:77" s="1" customFormat="1" x14ac:dyDescent="0.25">
      <c r="A63" s="106">
        <v>42534</v>
      </c>
      <c r="B63" s="120" t="s">
        <v>14</v>
      </c>
      <c r="C63" s="120" t="s">
        <v>757</v>
      </c>
      <c r="D63" s="120" t="s">
        <v>735</v>
      </c>
      <c r="E63" s="120" t="s">
        <v>714</v>
      </c>
      <c r="F63" s="95" t="s">
        <v>758</v>
      </c>
      <c r="G63" s="50" t="s">
        <v>759</v>
      </c>
      <c r="H63" s="41">
        <v>2781800009</v>
      </c>
      <c r="I63" s="298"/>
      <c r="J63" s="298"/>
      <c r="K63" s="25"/>
      <c r="L63" s="26"/>
      <c r="M63" s="26"/>
      <c r="N63" s="26"/>
      <c r="O63" s="34"/>
      <c r="P63" s="34"/>
      <c r="Q63" s="34"/>
      <c r="R63" s="34"/>
      <c r="S63" s="34"/>
      <c r="T63" s="34"/>
      <c r="U63" s="25"/>
      <c r="V63" s="33"/>
      <c r="W63" s="25"/>
      <c r="X63" s="33"/>
      <c r="Y63" s="31"/>
      <c r="Z63" s="33"/>
      <c r="AA63" s="25"/>
      <c r="AB63" s="85"/>
      <c r="AC63" s="298"/>
      <c r="AD63" s="41"/>
      <c r="AE63" s="298"/>
      <c r="AF63" s="298"/>
      <c r="AG63" s="298"/>
      <c r="AH63" s="298"/>
      <c r="AI63" s="298"/>
      <c r="AJ63" s="298"/>
      <c r="AK63" s="298"/>
      <c r="AL63" s="31"/>
      <c r="AM63" s="298" t="s">
        <v>760</v>
      </c>
      <c r="AN63" s="298" t="s">
        <v>761</v>
      </c>
      <c r="AO63" s="298"/>
      <c r="AP63" s="298" t="s">
        <v>761</v>
      </c>
      <c r="AQ63" s="85"/>
      <c r="AR63" s="87">
        <v>16.829999999999998</v>
      </c>
      <c r="AS63" s="312" t="s">
        <v>777</v>
      </c>
      <c r="AT63" s="312" t="s">
        <v>778</v>
      </c>
      <c r="AU63" s="321"/>
      <c r="AV63" s="321"/>
      <c r="AW63" s="321"/>
      <c r="AX63" s="203">
        <v>2.2639999999999998</v>
      </c>
      <c r="AY63" s="203">
        <v>5.7869999999999999</v>
      </c>
      <c r="AZ63" s="315">
        <v>0.08</v>
      </c>
      <c r="BA63" s="317">
        <v>2.5950000000000002</v>
      </c>
      <c r="BB63" s="317">
        <v>2.5950000000000002</v>
      </c>
      <c r="BC63" s="317">
        <v>6.0949999999999998</v>
      </c>
      <c r="BD63" s="317">
        <v>2.3752246744791667E-2</v>
      </c>
      <c r="BE63" s="315">
        <v>0.05</v>
      </c>
      <c r="BF63" s="318">
        <v>10.879</v>
      </c>
      <c r="BG63" s="318">
        <v>8.5169999999999995</v>
      </c>
      <c r="BH63" s="318">
        <v>6.7990000000000004</v>
      </c>
      <c r="BI63" s="317">
        <v>0.36456664117881943</v>
      </c>
      <c r="BJ63" s="322">
        <v>0.15</v>
      </c>
      <c r="BK63" s="322"/>
      <c r="BL63" s="322"/>
      <c r="BM63" s="287" t="s">
        <v>764</v>
      </c>
      <c r="BN63" s="85">
        <v>12</v>
      </c>
      <c r="BO63" s="85">
        <v>19</v>
      </c>
      <c r="BP63" s="85">
        <v>7</v>
      </c>
      <c r="BQ63" s="192">
        <v>1596</v>
      </c>
      <c r="BR63" s="320">
        <v>277.43</v>
      </c>
      <c r="BS63" s="192" t="s">
        <v>779</v>
      </c>
      <c r="BT63" s="107" t="s">
        <v>780</v>
      </c>
      <c r="BU63" s="81"/>
      <c r="BV63" s="81"/>
      <c r="BW63" s="35"/>
    </row>
    <row r="64" spans="1:77" ht="30" x14ac:dyDescent="0.25">
      <c r="A64" s="106">
        <v>42482</v>
      </c>
      <c r="B64" s="83" t="s">
        <v>14</v>
      </c>
      <c r="C64" s="83" t="s">
        <v>783</v>
      </c>
      <c r="D64" s="83" t="s">
        <v>60</v>
      </c>
      <c r="E64" s="16" t="s">
        <v>714</v>
      </c>
      <c r="F64" s="95" t="s">
        <v>784</v>
      </c>
      <c r="G64" s="41" t="s">
        <v>785</v>
      </c>
      <c r="H64" s="96">
        <v>47135704</v>
      </c>
      <c r="I64" s="114" t="s">
        <v>786</v>
      </c>
      <c r="J64" s="114">
        <v>47135703</v>
      </c>
      <c r="K64" s="25"/>
      <c r="L64" s="26"/>
      <c r="M64" s="26"/>
      <c r="N64" s="26"/>
      <c r="O64" s="34"/>
      <c r="P64" s="34"/>
      <c r="Q64" s="34"/>
      <c r="R64" s="34"/>
      <c r="S64" s="34"/>
      <c r="T64" s="34"/>
      <c r="U64" s="25" t="s">
        <v>787</v>
      </c>
      <c r="V64" s="33"/>
      <c r="W64" s="25"/>
      <c r="X64" s="33"/>
      <c r="Y64" s="31" t="s">
        <v>788</v>
      </c>
      <c r="Z64" s="33"/>
      <c r="AA64" s="25" t="s">
        <v>789</v>
      </c>
      <c r="AB64" s="85" t="s">
        <v>790</v>
      </c>
      <c r="AC64" s="114"/>
      <c r="AD64" s="41"/>
      <c r="AE64" s="114"/>
      <c r="AF64" s="114"/>
      <c r="AG64" s="114"/>
      <c r="AH64" s="114"/>
      <c r="AI64" s="114"/>
      <c r="AJ64" s="114"/>
      <c r="AK64" s="114"/>
      <c r="AL64" s="31"/>
      <c r="AM64" s="114"/>
      <c r="AN64" s="114"/>
      <c r="AO64" s="114"/>
      <c r="AP64" s="114"/>
      <c r="AQ64" s="85">
        <v>57075</v>
      </c>
      <c r="AR64" s="87">
        <v>20.76</v>
      </c>
      <c r="AS64" s="93" t="s">
        <v>791</v>
      </c>
      <c r="AT64" s="93" t="s">
        <v>792</v>
      </c>
      <c r="AU64" s="36"/>
      <c r="AV64" s="36"/>
      <c r="AW64" s="36"/>
      <c r="AX64" s="112">
        <v>4.2125984251968509</v>
      </c>
      <c r="AY64" s="112">
        <v>4.1535433070866148</v>
      </c>
      <c r="AZ64" s="115"/>
      <c r="BA64" s="51">
        <v>4.4659999999999993</v>
      </c>
      <c r="BB64" s="51">
        <v>4.4659999999999993</v>
      </c>
      <c r="BC64" s="51">
        <v>4.8220000000000001</v>
      </c>
      <c r="BD64" s="51">
        <v>5.5657142495370356E-2</v>
      </c>
      <c r="BE64" s="51">
        <v>1.3180000000000001</v>
      </c>
      <c r="BF64" s="51">
        <v>14</v>
      </c>
      <c r="BG64" s="51">
        <v>9.5</v>
      </c>
      <c r="BH64" s="51">
        <v>5.37</v>
      </c>
      <c r="BI64" s="51">
        <v>0.41331597222222222</v>
      </c>
      <c r="BJ64" s="51">
        <v>7.9080000000000004</v>
      </c>
      <c r="BK64" s="51"/>
      <c r="BL64" s="51"/>
      <c r="BM64" s="44" t="s">
        <v>793</v>
      </c>
      <c r="BN64" s="84">
        <v>6</v>
      </c>
      <c r="BO64" s="84">
        <v>13</v>
      </c>
      <c r="BP64" s="84">
        <v>8</v>
      </c>
      <c r="BQ64" s="27">
        <v>624</v>
      </c>
      <c r="BR64" s="27">
        <v>872.43200000000002</v>
      </c>
      <c r="BS64" s="84" t="s">
        <v>794</v>
      </c>
      <c r="BT64" s="94" t="s">
        <v>795</v>
      </c>
      <c r="BU64" s="8"/>
      <c r="BV64" s="8"/>
      <c r="BW64" s="8"/>
    </row>
    <row r="65" spans="1:77" x14ac:dyDescent="0.25">
      <c r="A65" s="106">
        <v>42482</v>
      </c>
      <c r="B65" s="83" t="s">
        <v>14</v>
      </c>
      <c r="C65" s="83" t="s">
        <v>796</v>
      </c>
      <c r="D65" s="83" t="s">
        <v>60</v>
      </c>
      <c r="E65" s="83" t="s">
        <v>65</v>
      </c>
      <c r="F65" s="95" t="s">
        <v>797</v>
      </c>
      <c r="G65" s="85" t="s">
        <v>798</v>
      </c>
      <c r="H65" s="31" t="s">
        <v>799</v>
      </c>
      <c r="I65" s="114"/>
      <c r="J65" s="114"/>
      <c r="K65" s="25"/>
      <c r="L65" s="26"/>
      <c r="M65" s="26"/>
      <c r="N65" s="26"/>
      <c r="O65" s="34"/>
      <c r="P65" s="34"/>
      <c r="Q65" s="34"/>
      <c r="R65" s="34"/>
      <c r="S65" s="34"/>
      <c r="T65" s="34"/>
      <c r="U65" s="25" t="s">
        <v>800</v>
      </c>
      <c r="V65" s="33"/>
      <c r="W65" s="25"/>
      <c r="X65" s="33"/>
      <c r="Y65" s="31" t="s">
        <v>801</v>
      </c>
      <c r="Z65" s="33"/>
      <c r="AA65" s="25"/>
      <c r="AB65" s="85"/>
      <c r="AC65" s="85"/>
      <c r="AD65" s="41"/>
      <c r="AE65" s="114"/>
      <c r="AF65" s="114"/>
      <c r="AG65" s="114"/>
      <c r="AH65" s="114"/>
      <c r="AI65" s="114"/>
      <c r="AJ65" s="114"/>
      <c r="AK65" s="114"/>
      <c r="AL65" s="85"/>
      <c r="AM65" s="114"/>
      <c r="AN65" s="114"/>
      <c r="AO65" s="114"/>
      <c r="AP65" s="114"/>
      <c r="AQ65" s="85"/>
      <c r="AR65" s="87">
        <v>12.53</v>
      </c>
      <c r="AS65" s="116" t="s">
        <v>802</v>
      </c>
      <c r="AT65" s="93" t="s">
        <v>803</v>
      </c>
      <c r="AU65" s="117"/>
      <c r="AV65" s="117"/>
      <c r="AW65" s="117"/>
      <c r="AX65" s="112">
        <v>2.9921259842519685</v>
      </c>
      <c r="AY65" s="112">
        <v>2.1653543307086616</v>
      </c>
      <c r="AZ65" s="88">
        <v>0.62992125984251968</v>
      </c>
      <c r="BA65" s="118"/>
      <c r="BB65" s="118"/>
      <c r="BC65" s="118"/>
      <c r="BD65" s="38"/>
      <c r="BE65" s="89">
        <v>0.42499999999999999</v>
      </c>
      <c r="BF65" s="113">
        <v>10</v>
      </c>
      <c r="BG65" s="113">
        <v>6.75</v>
      </c>
      <c r="BH65" s="113">
        <v>3.75</v>
      </c>
      <c r="BI65" s="51">
        <v>0.146484375</v>
      </c>
      <c r="BJ65" s="51">
        <v>2.5499999999999998</v>
      </c>
      <c r="BK65" s="51"/>
      <c r="BL65" s="51"/>
      <c r="BM65" s="44" t="s">
        <v>793</v>
      </c>
      <c r="BN65" s="82">
        <v>6</v>
      </c>
      <c r="BO65" s="82">
        <v>26</v>
      </c>
      <c r="BP65" s="82">
        <v>10</v>
      </c>
      <c r="BQ65" s="27">
        <v>1560</v>
      </c>
      <c r="BR65" s="27">
        <v>713</v>
      </c>
      <c r="BS65" s="82" t="s">
        <v>794</v>
      </c>
      <c r="BT65" s="90" t="s">
        <v>795</v>
      </c>
      <c r="BU65" s="8"/>
      <c r="BV65" s="8"/>
      <c r="BW65" s="8"/>
    </row>
    <row r="66" spans="1:77" x14ac:dyDescent="0.25">
      <c r="A66" s="106">
        <v>42482</v>
      </c>
      <c r="B66" s="82" t="s">
        <v>14</v>
      </c>
      <c r="C66" s="82" t="s">
        <v>804</v>
      </c>
      <c r="D66" s="83" t="s">
        <v>60</v>
      </c>
      <c r="E66" s="83" t="s">
        <v>65</v>
      </c>
      <c r="F66" s="50" t="s">
        <v>805</v>
      </c>
      <c r="G66" s="50" t="s">
        <v>806</v>
      </c>
      <c r="H66" s="41" t="s">
        <v>807</v>
      </c>
      <c r="I66" s="114"/>
      <c r="J66" s="114"/>
      <c r="K66" s="25"/>
      <c r="L66" s="26"/>
      <c r="M66" s="26"/>
      <c r="N66" s="26"/>
      <c r="O66" s="34"/>
      <c r="P66" s="34"/>
      <c r="Q66" s="34"/>
      <c r="R66" s="34"/>
      <c r="S66" s="34"/>
      <c r="T66" s="34"/>
      <c r="U66" s="25" t="s">
        <v>808</v>
      </c>
      <c r="V66" s="33"/>
      <c r="W66" s="25"/>
      <c r="X66" s="33"/>
      <c r="Y66" s="31"/>
      <c r="Z66" s="33"/>
      <c r="AA66" s="25"/>
      <c r="AB66" s="85"/>
      <c r="AC66" s="114"/>
      <c r="AD66" s="41"/>
      <c r="AE66" s="114"/>
      <c r="AF66" s="114"/>
      <c r="AG66" s="114"/>
      <c r="AH66" s="114"/>
      <c r="AI66" s="114"/>
      <c r="AJ66" s="85"/>
      <c r="AK66" s="114"/>
      <c r="AL66" s="85"/>
      <c r="AM66" s="114"/>
      <c r="AN66" s="114"/>
      <c r="AO66" s="114"/>
      <c r="AP66" s="114"/>
      <c r="AQ66" s="85">
        <v>33745</v>
      </c>
      <c r="AR66" s="87">
        <v>22.51</v>
      </c>
      <c r="AS66" s="49" t="s">
        <v>809</v>
      </c>
      <c r="AT66" s="93" t="s">
        <v>810</v>
      </c>
      <c r="AU66" s="117"/>
      <c r="AV66" s="117"/>
      <c r="AW66" s="117"/>
      <c r="AX66" s="112">
        <v>3.7007874015748032</v>
      </c>
      <c r="AY66" s="112">
        <v>3.7795275590551185</v>
      </c>
      <c r="AZ66" s="91">
        <v>0.9055118110236221</v>
      </c>
      <c r="BA66" s="119"/>
      <c r="BB66" s="119"/>
      <c r="BC66" s="119"/>
      <c r="BD66" s="38"/>
      <c r="BE66" s="89">
        <v>0.42499999999999999</v>
      </c>
      <c r="BF66" s="113">
        <v>11.93</v>
      </c>
      <c r="BG66" s="113">
        <v>8</v>
      </c>
      <c r="BH66" s="113">
        <v>4.62</v>
      </c>
      <c r="BI66" s="51">
        <v>0.25516944444444445</v>
      </c>
      <c r="BJ66" s="51">
        <v>2.5499999999999998</v>
      </c>
      <c r="BK66" s="51"/>
      <c r="BL66" s="51"/>
      <c r="BM66" s="44" t="s">
        <v>793</v>
      </c>
      <c r="BN66" s="82">
        <v>6</v>
      </c>
      <c r="BO66" s="82">
        <v>20</v>
      </c>
      <c r="BP66" s="82">
        <v>9</v>
      </c>
      <c r="BQ66" s="27">
        <v>1080</v>
      </c>
      <c r="BR66" s="27">
        <v>509</v>
      </c>
      <c r="BS66" s="27" t="s">
        <v>794</v>
      </c>
      <c r="BT66" s="90" t="s">
        <v>795</v>
      </c>
      <c r="BU66" s="8"/>
      <c r="BV66" s="8"/>
      <c r="BW66" s="8"/>
    </row>
    <row r="67" spans="1:77" x14ac:dyDescent="0.25">
      <c r="A67" s="106">
        <v>42482</v>
      </c>
      <c r="B67" s="82" t="s">
        <v>14</v>
      </c>
      <c r="C67" s="82" t="s">
        <v>811</v>
      </c>
      <c r="D67" s="83" t="s">
        <v>60</v>
      </c>
      <c r="E67" s="83" t="s">
        <v>65</v>
      </c>
      <c r="F67" s="50" t="s">
        <v>812</v>
      </c>
      <c r="G67" s="50" t="s">
        <v>806</v>
      </c>
      <c r="H67" s="41">
        <v>3006265011</v>
      </c>
      <c r="I67" s="114"/>
      <c r="J67" s="114"/>
      <c r="K67" s="25"/>
      <c r="L67" s="26"/>
      <c r="M67" s="26"/>
      <c r="N67" s="26"/>
      <c r="O67" s="34"/>
      <c r="P67" s="34"/>
      <c r="Q67" s="34"/>
      <c r="R67" s="34"/>
      <c r="S67" s="34"/>
      <c r="T67" s="34"/>
      <c r="U67" s="25" t="s">
        <v>813</v>
      </c>
      <c r="V67" s="33"/>
      <c r="W67" s="25"/>
      <c r="X67" s="33"/>
      <c r="Y67" s="31" t="s">
        <v>814</v>
      </c>
      <c r="Z67" s="33"/>
      <c r="AA67" s="25" t="s">
        <v>815</v>
      </c>
      <c r="AB67" s="85"/>
      <c r="AC67" s="24"/>
      <c r="AD67" s="41"/>
      <c r="AE67" s="114"/>
      <c r="AF67" s="114"/>
      <c r="AG67" s="114"/>
      <c r="AH67" s="114"/>
      <c r="AI67" s="114"/>
      <c r="AJ67" s="114"/>
      <c r="AK67" s="114"/>
      <c r="AL67" s="24"/>
      <c r="AM67" s="114"/>
      <c r="AN67" s="114"/>
      <c r="AO67" s="114"/>
      <c r="AP67" s="114"/>
      <c r="AQ67" s="85"/>
      <c r="AR67" s="87">
        <v>19.23</v>
      </c>
      <c r="AS67" s="49" t="s">
        <v>816</v>
      </c>
      <c r="AT67" s="93" t="s">
        <v>817</v>
      </c>
      <c r="AU67" s="117"/>
      <c r="AV67" s="117"/>
      <c r="AW67" s="117"/>
      <c r="AX67" s="112">
        <v>3.6220472440944884</v>
      </c>
      <c r="AY67" s="112">
        <v>5.6299212598425203</v>
      </c>
      <c r="AZ67" s="91">
        <v>0.59055118110236227</v>
      </c>
      <c r="BA67" s="119"/>
      <c r="BB67" s="119"/>
      <c r="BC67" s="119"/>
      <c r="BD67" s="38"/>
      <c r="BE67" s="89">
        <v>0.42499999999999999</v>
      </c>
      <c r="BF67" s="113">
        <v>11.936999999999999</v>
      </c>
      <c r="BG67" s="113">
        <v>8</v>
      </c>
      <c r="BH67" s="113">
        <v>6.375</v>
      </c>
      <c r="BI67" s="51">
        <v>0.35230729166666663</v>
      </c>
      <c r="BJ67" s="51">
        <v>2.5499999999999998</v>
      </c>
      <c r="BK67" s="51"/>
      <c r="BL67" s="51"/>
      <c r="BM67" s="44" t="s">
        <v>793</v>
      </c>
      <c r="BN67" s="82">
        <v>6</v>
      </c>
      <c r="BO67" s="82">
        <v>20</v>
      </c>
      <c r="BP67" s="82">
        <v>7</v>
      </c>
      <c r="BQ67" s="27">
        <v>840</v>
      </c>
      <c r="BR67" s="27">
        <v>407</v>
      </c>
      <c r="BS67" s="27" t="s">
        <v>794</v>
      </c>
      <c r="BT67" s="90" t="s">
        <v>795</v>
      </c>
      <c r="BU67" s="8"/>
      <c r="BV67" s="8"/>
      <c r="BW67" s="8"/>
    </row>
    <row r="68" spans="1:77" ht="45" x14ac:dyDescent="0.25">
      <c r="A68" s="106">
        <v>42482</v>
      </c>
      <c r="B68" s="83" t="s">
        <v>14</v>
      </c>
      <c r="C68" s="83" t="s">
        <v>818</v>
      </c>
      <c r="D68" s="83" t="s">
        <v>60</v>
      </c>
      <c r="E68" s="83" t="s">
        <v>65</v>
      </c>
      <c r="F68" s="95" t="s">
        <v>819</v>
      </c>
      <c r="G68" s="41" t="s">
        <v>798</v>
      </c>
      <c r="H68" s="96" t="s">
        <v>820</v>
      </c>
      <c r="I68" s="114" t="s">
        <v>821</v>
      </c>
      <c r="J68" s="114">
        <v>4411637</v>
      </c>
      <c r="K68" s="25" t="s">
        <v>822</v>
      </c>
      <c r="L68" s="26" t="s">
        <v>820</v>
      </c>
      <c r="M68" s="26"/>
      <c r="N68" s="26"/>
      <c r="O68" s="34"/>
      <c r="P68" s="34"/>
      <c r="Q68" s="34"/>
      <c r="R68" s="34"/>
      <c r="S68" s="34"/>
      <c r="T68" s="34"/>
      <c r="U68" s="25" t="s">
        <v>823</v>
      </c>
      <c r="V68" s="33"/>
      <c r="W68" s="25"/>
      <c r="X68" s="33"/>
      <c r="Y68" s="31"/>
      <c r="Z68" s="33"/>
      <c r="AA68" s="25"/>
      <c r="AB68" s="85"/>
      <c r="AC68" s="114"/>
      <c r="AD68" s="41"/>
      <c r="AE68" s="114"/>
      <c r="AF68" s="114"/>
      <c r="AG68" s="114"/>
      <c r="AH68" s="114"/>
      <c r="AI68" s="114"/>
      <c r="AJ68" s="114"/>
      <c r="AK68" s="114"/>
      <c r="AL68" s="31"/>
      <c r="AM68" s="114"/>
      <c r="AN68" s="114"/>
      <c r="AO68" s="114"/>
      <c r="AP68" s="114"/>
      <c r="AQ68" s="85"/>
      <c r="AR68" s="87">
        <v>19.98</v>
      </c>
      <c r="AS68" s="49" t="s">
        <v>824</v>
      </c>
      <c r="AT68" s="93" t="s">
        <v>825</v>
      </c>
      <c r="AU68" s="117"/>
      <c r="AV68" s="117"/>
      <c r="AW68" s="117"/>
      <c r="AX68" s="112">
        <v>2.7952755905511815</v>
      </c>
      <c r="AY68" s="112">
        <v>4.7637795275590555</v>
      </c>
      <c r="AZ68" s="88">
        <v>0.78740157480314965</v>
      </c>
      <c r="BA68" s="38"/>
      <c r="BB68" s="38"/>
      <c r="BC68" s="38"/>
      <c r="BD68" s="38"/>
      <c r="BE68" s="89">
        <v>0.42499999999999999</v>
      </c>
      <c r="BF68" s="113">
        <v>10</v>
      </c>
      <c r="BG68" s="113">
        <v>6.75</v>
      </c>
      <c r="BH68" s="113">
        <v>5.5</v>
      </c>
      <c r="BI68" s="111">
        <v>0.21484375</v>
      </c>
      <c r="BJ68" s="111">
        <v>2.5499999999999998</v>
      </c>
      <c r="BK68" s="340"/>
      <c r="BL68" s="340"/>
      <c r="BM68" s="44" t="s">
        <v>793</v>
      </c>
      <c r="BN68" s="82">
        <v>6</v>
      </c>
      <c r="BO68" s="82">
        <v>26</v>
      </c>
      <c r="BP68" s="82">
        <v>8</v>
      </c>
      <c r="BQ68" s="27">
        <v>1248</v>
      </c>
      <c r="BR68" s="27">
        <v>580.4</v>
      </c>
      <c r="BS68" s="27" t="s">
        <v>794</v>
      </c>
      <c r="BT68" s="107" t="s">
        <v>795</v>
      </c>
      <c r="BU68" s="8"/>
      <c r="BV68" s="8"/>
      <c r="BW68" s="8"/>
    </row>
    <row r="69" spans="1:77" x14ac:dyDescent="0.25">
      <c r="A69" s="106">
        <v>42482</v>
      </c>
      <c r="B69" s="84" t="s">
        <v>14</v>
      </c>
      <c r="C69" s="83" t="s">
        <v>826</v>
      </c>
      <c r="D69" s="83" t="s">
        <v>60</v>
      </c>
      <c r="E69" s="83" t="s">
        <v>65</v>
      </c>
      <c r="F69" s="108" t="s">
        <v>827</v>
      </c>
      <c r="G69" s="50" t="s">
        <v>806</v>
      </c>
      <c r="H69" s="41" t="s">
        <v>828</v>
      </c>
      <c r="I69" s="114"/>
      <c r="J69" s="114"/>
      <c r="K69" s="25"/>
      <c r="L69" s="26"/>
      <c r="M69" s="26"/>
      <c r="N69" s="26"/>
      <c r="O69" s="34"/>
      <c r="P69" s="34"/>
      <c r="Q69" s="34"/>
      <c r="R69" s="34"/>
      <c r="S69" s="34"/>
      <c r="T69" s="34"/>
      <c r="U69" s="25" t="s">
        <v>829</v>
      </c>
      <c r="V69" s="33"/>
      <c r="W69" s="25"/>
      <c r="X69" s="33"/>
      <c r="Y69" s="31" t="s">
        <v>830</v>
      </c>
      <c r="Z69" s="33"/>
      <c r="AA69" s="25" t="s">
        <v>831</v>
      </c>
      <c r="AB69" s="85"/>
      <c r="AC69" s="114"/>
      <c r="AD69" s="41"/>
      <c r="AE69" s="114"/>
      <c r="AF69" s="114"/>
      <c r="AG69" s="114"/>
      <c r="AH69" s="114"/>
      <c r="AI69" s="114"/>
      <c r="AJ69" s="114"/>
      <c r="AK69" s="114"/>
      <c r="AL69" s="31"/>
      <c r="AM69" s="114"/>
      <c r="AN69" s="114"/>
      <c r="AO69" s="114"/>
      <c r="AP69" s="114"/>
      <c r="AQ69" s="85"/>
      <c r="AR69" s="87">
        <v>16.39</v>
      </c>
      <c r="AS69" s="49" t="s">
        <v>832</v>
      </c>
      <c r="AT69" s="93" t="s">
        <v>833</v>
      </c>
      <c r="AU69" s="117"/>
      <c r="AV69" s="117"/>
      <c r="AW69" s="117"/>
      <c r="AX69" s="112">
        <v>3.7401574803149606</v>
      </c>
      <c r="AY69" s="112">
        <v>3.8582677165354333</v>
      </c>
      <c r="AZ69" s="88">
        <v>1.0629921259842521</v>
      </c>
      <c r="BA69" s="38"/>
      <c r="BB69" s="38"/>
      <c r="BC69" s="38"/>
      <c r="BD69" s="38"/>
      <c r="BE69" s="89">
        <v>0.42499999999999999</v>
      </c>
      <c r="BF69" s="113">
        <v>11.93</v>
      </c>
      <c r="BG69" s="113">
        <v>8</v>
      </c>
      <c r="BH69" s="113">
        <v>4.62</v>
      </c>
      <c r="BI69" s="111">
        <v>0.25516944444444445</v>
      </c>
      <c r="BJ69" s="111">
        <v>2.5499999999999998</v>
      </c>
      <c r="BK69" s="340"/>
      <c r="BL69" s="340"/>
      <c r="BM69" s="44" t="s">
        <v>793</v>
      </c>
      <c r="BN69" s="27">
        <v>6</v>
      </c>
      <c r="BO69" s="27">
        <v>20</v>
      </c>
      <c r="BP69" s="27">
        <v>9</v>
      </c>
      <c r="BQ69" s="27">
        <v>1080</v>
      </c>
      <c r="BR69" s="27">
        <v>509</v>
      </c>
      <c r="BS69" s="27" t="s">
        <v>794</v>
      </c>
      <c r="BT69" s="107" t="s">
        <v>795</v>
      </c>
      <c r="BU69" s="8"/>
      <c r="BV69" s="8"/>
      <c r="BW69" s="8"/>
    </row>
    <row r="70" spans="1:77" ht="30" x14ac:dyDescent="0.25">
      <c r="A70" s="106">
        <v>42482</v>
      </c>
      <c r="B70" s="83" t="s">
        <v>14</v>
      </c>
      <c r="C70" s="83" t="s">
        <v>834</v>
      </c>
      <c r="D70" s="83" t="s">
        <v>60</v>
      </c>
      <c r="E70" s="83" t="s">
        <v>697</v>
      </c>
      <c r="F70" s="95" t="s">
        <v>835</v>
      </c>
      <c r="G70" s="41" t="s">
        <v>836</v>
      </c>
      <c r="H70" s="96" t="s">
        <v>837</v>
      </c>
      <c r="I70" s="114"/>
      <c r="J70" s="114"/>
      <c r="K70" s="25"/>
      <c r="L70" s="26"/>
      <c r="M70" s="26"/>
      <c r="N70" s="26"/>
      <c r="O70" s="34"/>
      <c r="P70" s="34"/>
      <c r="Q70" s="34"/>
      <c r="R70" s="34"/>
      <c r="S70" s="34"/>
      <c r="T70" s="34"/>
      <c r="U70" s="25" t="s">
        <v>838</v>
      </c>
      <c r="V70" s="33"/>
      <c r="W70" s="25"/>
      <c r="X70" s="33"/>
      <c r="Y70" s="31" t="s">
        <v>839</v>
      </c>
      <c r="Z70" s="33"/>
      <c r="AA70" s="25"/>
      <c r="AB70" s="85"/>
      <c r="AC70" s="114"/>
      <c r="AD70" s="41"/>
      <c r="AE70" s="114"/>
      <c r="AF70" s="114"/>
      <c r="AG70" s="114"/>
      <c r="AH70" s="114"/>
      <c r="AI70" s="114"/>
      <c r="AJ70" s="114"/>
      <c r="AK70" s="114"/>
      <c r="AL70" s="31"/>
      <c r="AM70" s="114"/>
      <c r="AN70" s="114"/>
      <c r="AO70" s="114"/>
      <c r="AP70" s="114"/>
      <c r="AQ70" s="85"/>
      <c r="AR70" s="87">
        <v>118.71</v>
      </c>
      <c r="AS70" s="116" t="s">
        <v>840</v>
      </c>
      <c r="AT70" s="93" t="s">
        <v>841</v>
      </c>
      <c r="AU70" s="117"/>
      <c r="AV70" s="117"/>
      <c r="AW70" s="117"/>
      <c r="AX70" s="112">
        <v>2.8346456692913389</v>
      </c>
      <c r="AY70" s="112">
        <v>11.811023622047244</v>
      </c>
      <c r="AZ70" s="115"/>
      <c r="BA70" s="113">
        <v>3.625</v>
      </c>
      <c r="BB70" s="113">
        <v>3.625</v>
      </c>
      <c r="BC70" s="113">
        <v>15.25</v>
      </c>
      <c r="BD70" s="111">
        <v>0.11596905743634259</v>
      </c>
      <c r="BE70" s="89">
        <v>1.1000000000000001</v>
      </c>
      <c r="BF70" s="418" t="s">
        <v>842</v>
      </c>
      <c r="BG70" s="419"/>
      <c r="BH70" s="419"/>
      <c r="BI70" s="419"/>
      <c r="BJ70" s="420"/>
      <c r="BK70" s="339"/>
      <c r="BL70" s="339"/>
      <c r="BM70" s="44" t="s">
        <v>793</v>
      </c>
      <c r="BN70" s="82">
        <v>1</v>
      </c>
      <c r="BO70" s="82">
        <v>143</v>
      </c>
      <c r="BP70" s="82">
        <v>2</v>
      </c>
      <c r="BQ70" s="27">
        <v>286</v>
      </c>
      <c r="BR70" s="27">
        <v>364.6</v>
      </c>
      <c r="BS70" s="27" t="s">
        <v>843</v>
      </c>
      <c r="BT70" s="107" t="s">
        <v>844</v>
      </c>
      <c r="BU70" s="8"/>
      <c r="BV70" s="8"/>
      <c r="BW70" s="8"/>
    </row>
    <row r="71" spans="1:77" x14ac:dyDescent="0.25">
      <c r="A71" s="106">
        <v>42482</v>
      </c>
      <c r="B71" s="84" t="s">
        <v>14</v>
      </c>
      <c r="C71" s="83" t="s">
        <v>845</v>
      </c>
      <c r="D71" s="83" t="s">
        <v>60</v>
      </c>
      <c r="E71" s="83" t="s">
        <v>697</v>
      </c>
      <c r="F71" s="95" t="s">
        <v>846</v>
      </c>
      <c r="G71" s="41" t="s">
        <v>847</v>
      </c>
      <c r="H71" s="96" t="s">
        <v>848</v>
      </c>
      <c r="I71" s="114"/>
      <c r="J71" s="114"/>
      <c r="K71" s="25"/>
      <c r="L71" s="26"/>
      <c r="M71" s="26"/>
      <c r="N71" s="26"/>
      <c r="O71" s="34"/>
      <c r="P71" s="34"/>
      <c r="Q71" s="34"/>
      <c r="R71" s="34"/>
      <c r="S71" s="34"/>
      <c r="T71" s="34"/>
      <c r="U71" s="25" t="s">
        <v>849</v>
      </c>
      <c r="V71" s="33"/>
      <c r="W71" s="25"/>
      <c r="X71" s="33"/>
      <c r="Y71" s="31" t="s">
        <v>850</v>
      </c>
      <c r="Z71" s="33"/>
      <c r="AA71" s="25"/>
      <c r="AB71" s="85"/>
      <c r="AC71" s="114"/>
      <c r="AD71" s="41"/>
      <c r="AE71" s="114"/>
      <c r="AF71" s="114"/>
      <c r="AG71" s="114"/>
      <c r="AH71" s="114"/>
      <c r="AI71" s="114"/>
      <c r="AJ71" s="114"/>
      <c r="AK71" s="114"/>
      <c r="AL71" s="31"/>
      <c r="AM71" s="114"/>
      <c r="AN71" s="114"/>
      <c r="AO71" s="114"/>
      <c r="AP71" s="114"/>
      <c r="AQ71" s="85" t="s">
        <v>851</v>
      </c>
      <c r="AR71" s="87">
        <v>149.27000000000001</v>
      </c>
      <c r="AS71" s="49" t="s">
        <v>852</v>
      </c>
      <c r="AT71" s="93" t="s">
        <v>853</v>
      </c>
      <c r="AU71" s="117"/>
      <c r="AV71" s="117"/>
      <c r="AW71" s="117"/>
      <c r="AX71" s="112">
        <v>3.8976377952755907</v>
      </c>
      <c r="AY71" s="112">
        <v>8.2677165354330722</v>
      </c>
      <c r="AZ71" s="88">
        <v>1.5748031496062993</v>
      </c>
      <c r="BA71" s="113">
        <v>4.125</v>
      </c>
      <c r="BB71" s="113">
        <v>4.125</v>
      </c>
      <c r="BC71" s="113">
        <v>10.25</v>
      </c>
      <c r="BD71" s="51">
        <v>0.10093180338541667</v>
      </c>
      <c r="BE71" s="89">
        <v>1.6</v>
      </c>
      <c r="BF71" s="418" t="s">
        <v>842</v>
      </c>
      <c r="BG71" s="419"/>
      <c r="BH71" s="419"/>
      <c r="BI71" s="419"/>
      <c r="BJ71" s="420"/>
      <c r="BK71" s="339"/>
      <c r="BL71" s="339"/>
      <c r="BM71" s="44" t="s">
        <v>793</v>
      </c>
      <c r="BN71" s="82">
        <v>1</v>
      </c>
      <c r="BO71" s="82">
        <v>120</v>
      </c>
      <c r="BP71" s="82">
        <v>4</v>
      </c>
      <c r="BQ71" s="27">
        <v>480</v>
      </c>
      <c r="BR71" s="27">
        <v>818</v>
      </c>
      <c r="BS71" s="82" t="s">
        <v>843</v>
      </c>
      <c r="BT71" s="107" t="s">
        <v>844</v>
      </c>
      <c r="BU71" s="8"/>
      <c r="BV71" s="8"/>
      <c r="BW71" s="8"/>
    </row>
    <row r="72" spans="1:77" x14ac:dyDescent="0.25">
      <c r="A72" s="106">
        <v>42482</v>
      </c>
      <c r="B72" s="84" t="s">
        <v>14</v>
      </c>
      <c r="C72" s="82" t="s">
        <v>854</v>
      </c>
      <c r="D72" s="83" t="s">
        <v>60</v>
      </c>
      <c r="E72" s="83" t="s">
        <v>697</v>
      </c>
      <c r="F72" s="95" t="s">
        <v>855</v>
      </c>
      <c r="G72" s="41" t="s">
        <v>856</v>
      </c>
      <c r="H72" s="96">
        <v>1799806</v>
      </c>
      <c r="I72" s="114" t="s">
        <v>856</v>
      </c>
      <c r="J72" s="114">
        <v>2166676</v>
      </c>
      <c r="K72" s="25"/>
      <c r="L72" s="26"/>
      <c r="M72" s="26"/>
      <c r="N72" s="26"/>
      <c r="O72" s="34"/>
      <c r="P72" s="34"/>
      <c r="Q72" s="34"/>
      <c r="R72" s="34"/>
      <c r="S72" s="34"/>
      <c r="T72" s="34"/>
      <c r="U72" s="25" t="s">
        <v>857</v>
      </c>
      <c r="V72" s="33"/>
      <c r="W72" s="25"/>
      <c r="X72" s="33"/>
      <c r="Y72" s="31" t="s">
        <v>858</v>
      </c>
      <c r="Z72" s="33"/>
      <c r="AA72" s="25" t="s">
        <v>859</v>
      </c>
      <c r="AB72" s="85"/>
      <c r="AC72" s="114"/>
      <c r="AD72" s="41"/>
      <c r="AE72" s="114"/>
      <c r="AF72" s="114"/>
      <c r="AG72" s="114"/>
      <c r="AH72" s="114"/>
      <c r="AI72" s="114"/>
      <c r="AJ72" s="114"/>
      <c r="AK72" s="114"/>
      <c r="AL72" s="31"/>
      <c r="AM72" s="114"/>
      <c r="AN72" s="114"/>
      <c r="AO72" s="114"/>
      <c r="AP72" s="114"/>
      <c r="AQ72" s="85">
        <v>57896</v>
      </c>
      <c r="AR72" s="87">
        <v>230.97</v>
      </c>
      <c r="AS72" s="116" t="s">
        <v>860</v>
      </c>
      <c r="AT72" s="93" t="s">
        <v>861</v>
      </c>
      <c r="AU72" s="117"/>
      <c r="AV72" s="117"/>
      <c r="AW72" s="117"/>
      <c r="AX72" s="112">
        <v>5.5118110236220472</v>
      </c>
      <c r="AY72" s="112">
        <v>16.811023622047244</v>
      </c>
      <c r="AZ72" s="92">
        <v>3.8582677165354333</v>
      </c>
      <c r="BA72" s="113">
        <v>6.3125</v>
      </c>
      <c r="BB72" s="113">
        <v>6.3125</v>
      </c>
      <c r="BC72" s="113">
        <v>18.625</v>
      </c>
      <c r="BD72" s="51">
        <v>0.42949224401403358</v>
      </c>
      <c r="BE72" s="92">
        <v>6.4</v>
      </c>
      <c r="BF72" s="418" t="s">
        <v>842</v>
      </c>
      <c r="BG72" s="419"/>
      <c r="BH72" s="419"/>
      <c r="BI72" s="419"/>
      <c r="BJ72" s="420"/>
      <c r="BK72" s="339"/>
      <c r="BL72" s="339"/>
      <c r="BM72" s="44" t="s">
        <v>793</v>
      </c>
      <c r="BN72" s="82">
        <v>1</v>
      </c>
      <c r="BO72" s="82">
        <v>48</v>
      </c>
      <c r="BP72" s="82">
        <v>2</v>
      </c>
      <c r="BQ72" s="27">
        <v>96</v>
      </c>
      <c r="BR72" s="27">
        <v>664.40000000000009</v>
      </c>
      <c r="BS72" s="27" t="s">
        <v>843</v>
      </c>
      <c r="BT72" s="107" t="s">
        <v>844</v>
      </c>
      <c r="BU72" s="8"/>
      <c r="BV72" s="8"/>
      <c r="BW72" s="8"/>
    </row>
    <row r="73" spans="1:77" s="1" customFormat="1" x14ac:dyDescent="0.25">
      <c r="A73" s="106">
        <v>42395</v>
      </c>
      <c r="B73" s="83" t="s">
        <v>14</v>
      </c>
      <c r="C73" s="83" t="s">
        <v>862</v>
      </c>
      <c r="D73" s="83" t="s">
        <v>735</v>
      </c>
      <c r="E73" s="16" t="s">
        <v>863</v>
      </c>
      <c r="F73" s="95" t="s">
        <v>864</v>
      </c>
      <c r="G73" s="41" t="s">
        <v>865</v>
      </c>
      <c r="H73" s="96" t="s">
        <v>866</v>
      </c>
      <c r="I73" s="114"/>
      <c r="J73" s="114"/>
      <c r="K73" s="25"/>
      <c r="L73" s="26"/>
      <c r="M73" s="26"/>
      <c r="N73" s="26"/>
      <c r="O73" s="34"/>
      <c r="P73" s="34"/>
      <c r="Q73" s="34"/>
      <c r="R73" s="34"/>
      <c r="S73" s="34"/>
      <c r="T73" s="34"/>
      <c r="U73" s="25"/>
      <c r="V73" s="33"/>
      <c r="W73" s="25"/>
      <c r="X73" s="33"/>
      <c r="Y73" s="31"/>
      <c r="Z73" s="33"/>
      <c r="AA73" s="25"/>
      <c r="AB73" s="85" t="s">
        <v>867</v>
      </c>
      <c r="AC73" s="114"/>
      <c r="AD73" s="41"/>
      <c r="AE73" s="114"/>
      <c r="AF73" s="114"/>
      <c r="AG73" s="114"/>
      <c r="AH73" s="114"/>
      <c r="AI73" s="114" t="s">
        <v>862</v>
      </c>
      <c r="AJ73" s="114"/>
      <c r="AK73" s="114"/>
      <c r="AL73" s="31" t="s">
        <v>868</v>
      </c>
      <c r="AM73" s="114" t="s">
        <v>869</v>
      </c>
      <c r="AN73" s="114" t="s">
        <v>870</v>
      </c>
      <c r="AO73" s="114"/>
      <c r="AP73" s="114" t="s">
        <v>871</v>
      </c>
      <c r="AQ73" s="85">
        <v>49760</v>
      </c>
      <c r="AR73" s="87">
        <v>20.82</v>
      </c>
      <c r="AS73" s="93" t="s">
        <v>872</v>
      </c>
      <c r="AT73" s="93" t="s">
        <v>873</v>
      </c>
      <c r="AU73" s="112">
        <v>12.2</v>
      </c>
      <c r="AV73" s="112">
        <v>7.34</v>
      </c>
      <c r="AW73" s="112">
        <v>2.0499999999999998</v>
      </c>
      <c r="AX73" s="112"/>
      <c r="AY73" s="112"/>
      <c r="AZ73" s="89"/>
      <c r="BA73" s="155">
        <f>7.75+0.036</f>
        <v>7.7859999999999996</v>
      </c>
      <c r="BB73" s="155">
        <f>2.5+0.036</f>
        <v>2.536</v>
      </c>
      <c r="BC73" s="155">
        <f>12.75+0.072</f>
        <v>12.821999999999999</v>
      </c>
      <c r="BD73" s="111">
        <f>(BA73*BB73*BC73)/1728</f>
        <v>0.14651283872222221</v>
      </c>
      <c r="BE73" s="92">
        <f>0.76+0.22</f>
        <v>0.98</v>
      </c>
      <c r="BF73" s="51">
        <f>15.38+0.25</f>
        <v>15.63</v>
      </c>
      <c r="BG73" s="51">
        <v>13.5</v>
      </c>
      <c r="BH73" s="51">
        <v>8.5</v>
      </c>
      <c r="BI73" s="51">
        <f>(BF73*BG73*BH73)/1728</f>
        <v>1.0379296875000001</v>
      </c>
      <c r="BJ73" s="51">
        <v>0.92</v>
      </c>
      <c r="BK73" s="51"/>
      <c r="BL73" s="51"/>
      <c r="BM73" s="44" t="s">
        <v>764</v>
      </c>
      <c r="BN73" s="84">
        <v>6</v>
      </c>
      <c r="BO73" s="84">
        <v>6</v>
      </c>
      <c r="BP73" s="84">
        <v>5</v>
      </c>
      <c r="BQ73" s="27">
        <f t="shared" ref="BQ73:BQ115" si="22">BN73*BO73*BP73</f>
        <v>180</v>
      </c>
      <c r="BR73" s="27">
        <f>(((BE73*BN73)+BJ73)*BO73*BP73)+50</f>
        <v>254</v>
      </c>
      <c r="BS73" s="84" t="s">
        <v>765</v>
      </c>
      <c r="BT73" s="94" t="s">
        <v>766</v>
      </c>
      <c r="BU73" s="81"/>
      <c r="BV73" s="81"/>
      <c r="BW73" s="35"/>
    </row>
    <row r="74" spans="1:77" s="1" customFormat="1" x14ac:dyDescent="0.25">
      <c r="A74" s="106">
        <v>42395</v>
      </c>
      <c r="B74" s="83" t="s">
        <v>14</v>
      </c>
      <c r="C74" s="83" t="s">
        <v>874</v>
      </c>
      <c r="D74" s="83" t="s">
        <v>735</v>
      </c>
      <c r="E74" s="83" t="s">
        <v>730</v>
      </c>
      <c r="F74" s="50" t="s">
        <v>875</v>
      </c>
      <c r="G74" s="24" t="s">
        <v>720</v>
      </c>
      <c r="H74" s="41" t="s">
        <v>876</v>
      </c>
      <c r="I74" s="114"/>
      <c r="J74" s="114"/>
      <c r="K74" s="25"/>
      <c r="L74" s="26"/>
      <c r="M74" s="26"/>
      <c r="N74" s="26"/>
      <c r="O74" s="34"/>
      <c r="P74" s="34"/>
      <c r="Q74" s="34"/>
      <c r="R74" s="34"/>
      <c r="S74" s="34"/>
      <c r="T74" s="34"/>
      <c r="U74" s="25"/>
      <c r="V74" s="33"/>
      <c r="W74" s="25"/>
      <c r="X74" s="33"/>
      <c r="Y74" s="31"/>
      <c r="Z74" s="33"/>
      <c r="AA74" s="25"/>
      <c r="AB74" s="24"/>
      <c r="AC74" s="24"/>
      <c r="AD74" s="41"/>
      <c r="AE74" s="114"/>
      <c r="AF74" s="114"/>
      <c r="AG74" s="114"/>
      <c r="AH74" s="114"/>
      <c r="AI74" s="114"/>
      <c r="AJ74" s="114"/>
      <c r="AK74" s="114"/>
      <c r="AL74" s="24"/>
      <c r="AM74" s="114"/>
      <c r="AN74" s="114"/>
      <c r="AO74" s="114"/>
      <c r="AP74" s="114"/>
      <c r="AQ74" s="156"/>
      <c r="AR74" s="157">
        <v>20.99</v>
      </c>
      <c r="AS74" s="122" t="s">
        <v>877</v>
      </c>
      <c r="AT74" s="122" t="s">
        <v>878</v>
      </c>
      <c r="AU74" s="123">
        <v>9.4499999999999993</v>
      </c>
      <c r="AV74" s="123">
        <v>7.48</v>
      </c>
      <c r="AW74" s="123">
        <v>0.98</v>
      </c>
      <c r="AX74" s="36"/>
      <c r="AY74" s="36"/>
      <c r="AZ74" s="88">
        <v>0.1</v>
      </c>
      <c r="BA74" s="158">
        <f>9.25+0.018+0.018</f>
        <v>9.2860000000000014</v>
      </c>
      <c r="BB74" s="84">
        <f>1.31+0.018+0.018</f>
        <v>1.3460000000000001</v>
      </c>
      <c r="BC74" s="84">
        <f>9.47+(0.018*4)</f>
        <v>9.5419999999999998</v>
      </c>
      <c r="BD74" s="111">
        <f t="shared" ref="BD74:BD111" si="23">(BC74*BB74*BA74)/1728</f>
        <v>6.9019119300925941E-2</v>
      </c>
      <c r="BE74" s="89">
        <v>0.12</v>
      </c>
      <c r="BF74" s="113">
        <v>10.5</v>
      </c>
      <c r="BG74" s="113">
        <v>8.75</v>
      </c>
      <c r="BH74" s="113">
        <v>9.75</v>
      </c>
      <c r="BI74" s="111">
        <f t="shared" ref="BI74:BI88" si="24">(BH74*BG74*BF74)/1728</f>
        <v>0.51839192708333337</v>
      </c>
      <c r="BJ74" s="159">
        <v>0.28000000000000003</v>
      </c>
      <c r="BK74" s="159"/>
      <c r="BL74" s="159"/>
      <c r="BM74" s="124" t="s">
        <v>764</v>
      </c>
      <c r="BN74" s="82">
        <v>6</v>
      </c>
      <c r="BO74" s="82">
        <v>18</v>
      </c>
      <c r="BP74" s="82">
        <v>4</v>
      </c>
      <c r="BQ74" s="27">
        <f t="shared" si="22"/>
        <v>432</v>
      </c>
      <c r="BR74" s="27">
        <f t="shared" ref="BR74:BR86" si="25">((((AZ74+BE74)*BN74)+BJ74)*BO74*BP74)+50</f>
        <v>165.2</v>
      </c>
      <c r="BS74" s="82" t="s">
        <v>769</v>
      </c>
      <c r="BT74" s="90" t="s">
        <v>766</v>
      </c>
      <c r="BU74" s="81"/>
      <c r="BV74" s="81"/>
      <c r="BW74" s="81"/>
    </row>
    <row r="75" spans="1:77" s="1" customFormat="1" x14ac:dyDescent="0.25">
      <c r="A75" s="106">
        <v>42395</v>
      </c>
      <c r="B75" s="83" t="s">
        <v>14</v>
      </c>
      <c r="C75" s="83" t="s">
        <v>879</v>
      </c>
      <c r="D75" s="83" t="s">
        <v>735</v>
      </c>
      <c r="E75" s="83" t="s">
        <v>730</v>
      </c>
      <c r="F75" s="95" t="s">
        <v>880</v>
      </c>
      <c r="G75" s="85" t="s">
        <v>49</v>
      </c>
      <c r="H75" s="31" t="s">
        <v>881</v>
      </c>
      <c r="I75" s="114"/>
      <c r="J75" s="114"/>
      <c r="K75" s="25"/>
      <c r="L75" s="26"/>
      <c r="M75" s="26"/>
      <c r="N75" s="26"/>
      <c r="O75" s="34"/>
      <c r="P75" s="34"/>
      <c r="Q75" s="34"/>
      <c r="R75" s="34"/>
      <c r="S75" s="34"/>
      <c r="T75" s="34"/>
      <c r="U75" s="25" t="s">
        <v>882</v>
      </c>
      <c r="V75" s="33"/>
      <c r="W75" s="25"/>
      <c r="X75" s="33"/>
      <c r="Y75" s="31"/>
      <c r="Z75" s="33"/>
      <c r="AA75" s="25"/>
      <c r="AB75" s="85"/>
      <c r="AC75" s="85"/>
      <c r="AD75" s="41"/>
      <c r="AE75" s="114"/>
      <c r="AF75" s="114"/>
      <c r="AG75" s="114"/>
      <c r="AH75" s="114"/>
      <c r="AI75" s="114"/>
      <c r="AJ75" s="114"/>
      <c r="AK75" s="114"/>
      <c r="AL75" s="85"/>
      <c r="AM75" s="114"/>
      <c r="AN75" s="114"/>
      <c r="AO75" s="114"/>
      <c r="AP75" s="114"/>
      <c r="AQ75" s="85" t="s">
        <v>883</v>
      </c>
      <c r="AR75" s="87">
        <v>12.65</v>
      </c>
      <c r="AS75" s="122" t="s">
        <v>884</v>
      </c>
      <c r="AT75" s="122" t="s">
        <v>885</v>
      </c>
      <c r="AU75" s="123">
        <v>10.8</v>
      </c>
      <c r="AV75" s="123">
        <v>8.75</v>
      </c>
      <c r="AW75" s="123">
        <v>0.75</v>
      </c>
      <c r="AX75" s="36"/>
      <c r="AY75" s="36"/>
      <c r="AZ75" s="88">
        <f>0.08</f>
        <v>0.08</v>
      </c>
      <c r="BA75" s="84">
        <f>9.46+0.036</f>
        <v>9.4960000000000004</v>
      </c>
      <c r="BB75" s="84">
        <f>1.156+0.036</f>
        <v>1.1919999999999999</v>
      </c>
      <c r="BC75" s="84">
        <f>10.843+0.072</f>
        <v>10.914999999999999</v>
      </c>
      <c r="BD75" s="111">
        <f t="shared" si="23"/>
        <v>7.1498505370370377E-2</v>
      </c>
      <c r="BE75" s="89">
        <f>0.15</f>
        <v>0.15</v>
      </c>
      <c r="BF75" s="113">
        <v>11.25</v>
      </c>
      <c r="BG75" s="113">
        <v>8</v>
      </c>
      <c r="BH75" s="113">
        <v>11.5</v>
      </c>
      <c r="BI75" s="111">
        <f t="shared" si="24"/>
        <v>0.59895833333333337</v>
      </c>
      <c r="BJ75" s="159">
        <v>0.53</v>
      </c>
      <c r="BK75" s="159"/>
      <c r="BL75" s="159"/>
      <c r="BM75" s="124" t="s">
        <v>764</v>
      </c>
      <c r="BN75" s="82">
        <v>6</v>
      </c>
      <c r="BO75" s="82">
        <v>20</v>
      </c>
      <c r="BP75" s="82">
        <v>3</v>
      </c>
      <c r="BQ75" s="27">
        <f t="shared" si="22"/>
        <v>360</v>
      </c>
      <c r="BR75" s="27">
        <f t="shared" si="25"/>
        <v>164.6</v>
      </c>
      <c r="BS75" s="82" t="s">
        <v>886</v>
      </c>
      <c r="BT75" s="90" t="s">
        <v>766</v>
      </c>
      <c r="BU75" s="81"/>
      <c r="BV75" s="81"/>
      <c r="BW75" s="81"/>
      <c r="BX75" s="81"/>
      <c r="BY75" s="81"/>
    </row>
    <row r="76" spans="1:77" s="1" customFormat="1" x14ac:dyDescent="0.25">
      <c r="A76" s="106">
        <v>42395</v>
      </c>
      <c r="B76" s="82" t="s">
        <v>14</v>
      </c>
      <c r="C76" s="82" t="s">
        <v>887</v>
      </c>
      <c r="D76" s="83" t="s">
        <v>735</v>
      </c>
      <c r="E76" s="83" t="s">
        <v>730</v>
      </c>
      <c r="F76" s="50" t="s">
        <v>888</v>
      </c>
      <c r="G76" s="85" t="s">
        <v>737</v>
      </c>
      <c r="H76" s="41">
        <v>22808781</v>
      </c>
      <c r="I76" s="114"/>
      <c r="J76" s="114"/>
      <c r="K76" s="25"/>
      <c r="L76" s="26"/>
      <c r="M76" s="26"/>
      <c r="N76" s="26"/>
      <c r="O76" s="34"/>
      <c r="P76" s="34"/>
      <c r="Q76" s="34"/>
      <c r="R76" s="34"/>
      <c r="S76" s="34"/>
      <c r="T76" s="34"/>
      <c r="U76" s="25" t="s">
        <v>889</v>
      </c>
      <c r="V76" s="33"/>
      <c r="W76" s="25"/>
      <c r="X76" s="33"/>
      <c r="Y76" s="31"/>
      <c r="Z76" s="33"/>
      <c r="AA76" s="25"/>
      <c r="AB76" s="85"/>
      <c r="AC76" s="114"/>
      <c r="AD76" s="41"/>
      <c r="AE76" s="114"/>
      <c r="AF76" s="114"/>
      <c r="AG76" s="114"/>
      <c r="AH76" s="114"/>
      <c r="AI76" s="114"/>
      <c r="AJ76" s="85"/>
      <c r="AK76" s="114"/>
      <c r="AL76" s="85"/>
      <c r="AM76" s="114"/>
      <c r="AN76" s="114"/>
      <c r="AO76" s="114"/>
      <c r="AP76" s="114"/>
      <c r="AQ76" s="85" t="s">
        <v>890</v>
      </c>
      <c r="AR76" s="87">
        <v>22.14</v>
      </c>
      <c r="AS76" s="49" t="s">
        <v>891</v>
      </c>
      <c r="AT76" s="49" t="s">
        <v>892</v>
      </c>
      <c r="AU76" s="123">
        <v>9.17</v>
      </c>
      <c r="AV76" s="123">
        <v>9.8000000000000007</v>
      </c>
      <c r="AW76" s="123">
        <v>1.18</v>
      </c>
      <c r="AX76" s="36"/>
      <c r="AY76" s="36"/>
      <c r="AZ76" s="91">
        <f>0.35</f>
        <v>0.35</v>
      </c>
      <c r="BA76" s="155">
        <f>10.031+0.018+0.018</f>
        <v>10.067000000000002</v>
      </c>
      <c r="BB76" s="155">
        <f>1.61+0.018+0.018</f>
        <v>1.6460000000000001</v>
      </c>
      <c r="BC76" s="155">
        <f>10.625+(4*0.018)</f>
        <v>10.696999999999999</v>
      </c>
      <c r="BD76" s="111">
        <f t="shared" si="23"/>
        <v>0.10257656629282409</v>
      </c>
      <c r="BE76" s="92">
        <f>0.15</f>
        <v>0.15</v>
      </c>
      <c r="BF76" s="155">
        <v>12</v>
      </c>
      <c r="BG76" s="155">
        <v>10.37</v>
      </c>
      <c r="BH76" s="155">
        <v>10.62</v>
      </c>
      <c r="BI76" s="111">
        <f t="shared" si="24"/>
        <v>0.76478749999999995</v>
      </c>
      <c r="BJ76" s="159">
        <v>0.66</v>
      </c>
      <c r="BK76" s="159"/>
      <c r="BL76" s="159"/>
      <c r="BM76" s="82" t="s">
        <v>764</v>
      </c>
      <c r="BN76" s="82">
        <v>6</v>
      </c>
      <c r="BO76" s="82">
        <v>12</v>
      </c>
      <c r="BP76" s="82">
        <v>4</v>
      </c>
      <c r="BQ76" s="27">
        <f t="shared" si="22"/>
        <v>288</v>
      </c>
      <c r="BR76" s="27">
        <f t="shared" si="25"/>
        <v>225.68</v>
      </c>
      <c r="BS76" s="27" t="s">
        <v>769</v>
      </c>
      <c r="BT76" s="90" t="s">
        <v>770</v>
      </c>
      <c r="BU76" s="81"/>
      <c r="BV76" s="81"/>
      <c r="BW76" s="35"/>
    </row>
    <row r="77" spans="1:77" s="1" customFormat="1" x14ac:dyDescent="0.25">
      <c r="A77" s="106">
        <v>42395</v>
      </c>
      <c r="B77" s="84" t="s">
        <v>14</v>
      </c>
      <c r="C77" s="83" t="s">
        <v>893</v>
      </c>
      <c r="D77" s="83" t="s">
        <v>735</v>
      </c>
      <c r="E77" s="83" t="s">
        <v>730</v>
      </c>
      <c r="F77" s="108" t="s">
        <v>894</v>
      </c>
      <c r="G77" s="41" t="s">
        <v>732</v>
      </c>
      <c r="H77" s="96" t="s">
        <v>733</v>
      </c>
      <c r="I77" s="114"/>
      <c r="J77" s="114"/>
      <c r="K77" s="25"/>
      <c r="L77" s="26"/>
      <c r="M77" s="26"/>
      <c r="N77" s="26"/>
      <c r="O77" s="34"/>
      <c r="P77" s="34"/>
      <c r="Q77" s="34"/>
      <c r="R77" s="34"/>
      <c r="S77" s="34"/>
      <c r="T77" s="34"/>
      <c r="U77" s="25"/>
      <c r="V77" s="33"/>
      <c r="W77" s="25"/>
      <c r="X77" s="33"/>
      <c r="Y77" s="31"/>
      <c r="Z77" s="33"/>
      <c r="AA77" s="25"/>
      <c r="AB77" s="85"/>
      <c r="AC77" s="114"/>
      <c r="AD77" s="41"/>
      <c r="AE77" s="114"/>
      <c r="AF77" s="114"/>
      <c r="AG77" s="114"/>
      <c r="AH77" s="114"/>
      <c r="AI77" s="114"/>
      <c r="AJ77" s="114"/>
      <c r="AK77" s="114"/>
      <c r="AL77" s="31"/>
      <c r="AM77" s="114"/>
      <c r="AN77" s="114"/>
      <c r="AO77" s="114"/>
      <c r="AP77" s="114"/>
      <c r="AQ77" s="85">
        <v>49525</v>
      </c>
      <c r="AR77" s="87">
        <v>28.77</v>
      </c>
      <c r="AS77" s="49" t="s">
        <v>895</v>
      </c>
      <c r="AT77" s="49" t="s">
        <v>896</v>
      </c>
      <c r="AU77" s="123">
        <v>7.76</v>
      </c>
      <c r="AV77" s="123">
        <v>7.56</v>
      </c>
      <c r="AW77" s="123">
        <v>1.18</v>
      </c>
      <c r="AX77" s="36"/>
      <c r="AY77" s="36"/>
      <c r="AZ77" s="88">
        <v>0.3</v>
      </c>
      <c r="BA77" s="111">
        <f>8.063+0.036</f>
        <v>8.0990000000000002</v>
      </c>
      <c r="BB77" s="111">
        <f>1.375+0.036</f>
        <v>1.411</v>
      </c>
      <c r="BC77" s="111">
        <f>9.063+0.072</f>
        <v>9.1349999999999998</v>
      </c>
      <c r="BD77" s="111">
        <f t="shared" si="23"/>
        <v>6.0412001744791673E-2</v>
      </c>
      <c r="BE77" s="89">
        <v>0.12</v>
      </c>
      <c r="BF77" s="113">
        <v>11</v>
      </c>
      <c r="BG77" s="113">
        <v>9</v>
      </c>
      <c r="BH77" s="113">
        <v>9.25</v>
      </c>
      <c r="BI77" s="111">
        <f t="shared" si="24"/>
        <v>0.52994791666666663</v>
      </c>
      <c r="BJ77" s="159">
        <v>0.51</v>
      </c>
      <c r="BK77" s="159"/>
      <c r="BL77" s="159"/>
      <c r="BM77" s="124" t="s">
        <v>764</v>
      </c>
      <c r="BN77" s="27">
        <v>6</v>
      </c>
      <c r="BO77" s="27">
        <v>18</v>
      </c>
      <c r="BP77" s="27">
        <v>4</v>
      </c>
      <c r="BQ77" s="27">
        <f t="shared" si="22"/>
        <v>432</v>
      </c>
      <c r="BR77" s="27">
        <f t="shared" si="25"/>
        <v>268.16000000000003</v>
      </c>
      <c r="BS77" s="27" t="s">
        <v>769</v>
      </c>
      <c r="BT77" s="107" t="s">
        <v>770</v>
      </c>
      <c r="BU77" s="81"/>
      <c r="BV77" s="81"/>
      <c r="BW77" s="35"/>
    </row>
    <row r="78" spans="1:77" s="1" customFormat="1" x14ac:dyDescent="0.25">
      <c r="A78" s="106">
        <v>42395</v>
      </c>
      <c r="B78" s="83" t="s">
        <v>14</v>
      </c>
      <c r="C78" s="83" t="s">
        <v>897</v>
      </c>
      <c r="D78" s="83" t="s">
        <v>735</v>
      </c>
      <c r="E78" s="83" t="s">
        <v>730</v>
      </c>
      <c r="F78" s="95" t="s">
        <v>898</v>
      </c>
      <c r="G78" s="41" t="s">
        <v>899</v>
      </c>
      <c r="H78" s="96" t="s">
        <v>900</v>
      </c>
      <c r="I78" s="114"/>
      <c r="J78" s="114"/>
      <c r="K78" s="25"/>
      <c r="L78" s="26"/>
      <c r="M78" s="26"/>
      <c r="N78" s="26"/>
      <c r="O78" s="34"/>
      <c r="P78" s="34"/>
      <c r="Q78" s="34"/>
      <c r="R78" s="34"/>
      <c r="S78" s="34"/>
      <c r="T78" s="34"/>
      <c r="U78" s="25"/>
      <c r="V78" s="33"/>
      <c r="W78" s="25"/>
      <c r="X78" s="33"/>
      <c r="Y78" s="31"/>
      <c r="Z78" s="33"/>
      <c r="AA78" s="25"/>
      <c r="AB78" s="85" t="s">
        <v>901</v>
      </c>
      <c r="AC78" s="114"/>
      <c r="AD78" s="41"/>
      <c r="AE78" s="114"/>
      <c r="AF78" s="114"/>
      <c r="AG78" s="114"/>
      <c r="AH78" s="114"/>
      <c r="AI78" s="114"/>
      <c r="AJ78" s="114"/>
      <c r="AK78" s="114"/>
      <c r="AL78" s="31"/>
      <c r="AM78" s="114"/>
      <c r="AN78" s="114" t="s">
        <v>902</v>
      </c>
      <c r="AO78" s="114"/>
      <c r="AP78" s="114" t="s">
        <v>903</v>
      </c>
      <c r="AQ78" s="85">
        <v>24270</v>
      </c>
      <c r="AR78" s="87">
        <v>18.77</v>
      </c>
      <c r="AS78" s="49" t="s">
        <v>904</v>
      </c>
      <c r="AT78" s="49" t="s">
        <v>905</v>
      </c>
      <c r="AU78" s="123">
        <v>9.7799999999999994</v>
      </c>
      <c r="AV78" s="123">
        <v>6.75</v>
      </c>
      <c r="AW78" s="123">
        <v>0.77</v>
      </c>
      <c r="AX78" s="36"/>
      <c r="AY78" s="36"/>
      <c r="AZ78" s="88">
        <v>0.35</v>
      </c>
      <c r="BA78" s="111">
        <f>6.75+0.036</f>
        <v>6.7859999999999996</v>
      </c>
      <c r="BB78" s="111">
        <f>1.75+0.036</f>
        <v>1.786</v>
      </c>
      <c r="BC78" s="111">
        <v>10.071999999999999</v>
      </c>
      <c r="BD78" s="111">
        <f t="shared" si="23"/>
        <v>7.0642699833333322E-2</v>
      </c>
      <c r="BE78" s="89">
        <v>0.13</v>
      </c>
      <c r="BF78" s="113">
        <v>11.75</v>
      </c>
      <c r="BG78" s="113">
        <v>10.5</v>
      </c>
      <c r="BH78" s="113">
        <f>6.875+0.5</f>
        <v>7.375</v>
      </c>
      <c r="BI78" s="111">
        <f t="shared" si="24"/>
        <v>0.52655707465277779</v>
      </c>
      <c r="BJ78" s="159">
        <v>0.56000000000000005</v>
      </c>
      <c r="BK78" s="159"/>
      <c r="BL78" s="159"/>
      <c r="BM78" s="124" t="s">
        <v>764</v>
      </c>
      <c r="BN78" s="82">
        <v>6</v>
      </c>
      <c r="BO78" s="82">
        <v>12</v>
      </c>
      <c r="BP78" s="82">
        <v>6</v>
      </c>
      <c r="BQ78" s="27">
        <f t="shared" si="22"/>
        <v>432</v>
      </c>
      <c r="BR78" s="27">
        <f t="shared" si="25"/>
        <v>297.68</v>
      </c>
      <c r="BS78" s="27" t="s">
        <v>769</v>
      </c>
      <c r="BT78" s="107" t="s">
        <v>770</v>
      </c>
      <c r="BU78" s="81"/>
      <c r="BV78" s="81"/>
      <c r="BW78" s="35"/>
    </row>
    <row r="79" spans="1:77" s="1" customFormat="1" x14ac:dyDescent="0.25">
      <c r="A79" s="106">
        <v>42395</v>
      </c>
      <c r="B79" s="83" t="s">
        <v>14</v>
      </c>
      <c r="C79" s="83" t="s">
        <v>906</v>
      </c>
      <c r="D79" s="83" t="s">
        <v>735</v>
      </c>
      <c r="E79" s="83" t="s">
        <v>730</v>
      </c>
      <c r="F79" s="95" t="s">
        <v>907</v>
      </c>
      <c r="G79" s="41" t="s">
        <v>908</v>
      </c>
      <c r="H79" s="96" t="s">
        <v>909</v>
      </c>
      <c r="I79" s="114"/>
      <c r="J79" s="114"/>
      <c r="K79" s="25"/>
      <c r="L79" s="26"/>
      <c r="M79" s="26"/>
      <c r="N79" s="26"/>
      <c r="O79" s="34"/>
      <c r="P79" s="34"/>
      <c r="Q79" s="34"/>
      <c r="R79" s="34"/>
      <c r="S79" s="34"/>
      <c r="T79" s="34"/>
      <c r="U79" s="25"/>
      <c r="V79" s="33"/>
      <c r="W79" s="25"/>
      <c r="X79" s="33"/>
      <c r="Y79" s="31"/>
      <c r="Z79" s="33"/>
      <c r="AA79" s="25"/>
      <c r="AB79" s="85"/>
      <c r="AC79" s="114"/>
      <c r="AD79" s="41"/>
      <c r="AE79" s="114"/>
      <c r="AF79" s="114"/>
      <c r="AG79" s="114"/>
      <c r="AH79" s="114"/>
      <c r="AI79" s="114"/>
      <c r="AJ79" s="114"/>
      <c r="AK79" s="114"/>
      <c r="AL79" s="31" t="s">
        <v>910</v>
      </c>
      <c r="AM79" s="114"/>
      <c r="AN79" s="114"/>
      <c r="AO79" s="114"/>
      <c r="AP79" s="114"/>
      <c r="AQ79" s="85">
        <v>49361</v>
      </c>
      <c r="AR79" s="87">
        <v>82.48</v>
      </c>
      <c r="AS79" s="122" t="s">
        <v>911</v>
      </c>
      <c r="AT79" s="122" t="s">
        <v>912</v>
      </c>
      <c r="AU79" s="123">
        <v>15.94</v>
      </c>
      <c r="AV79" s="123">
        <v>8.35</v>
      </c>
      <c r="AW79" s="123">
        <v>2.2799999999999998</v>
      </c>
      <c r="AX79" s="36"/>
      <c r="AY79" s="36"/>
      <c r="AZ79" s="88">
        <v>1.19</v>
      </c>
      <c r="BA79" s="111">
        <f>9.75+0.036</f>
        <v>9.7859999999999996</v>
      </c>
      <c r="BB79" s="111">
        <f>3.75+0.036</f>
        <v>3.786</v>
      </c>
      <c r="BC79" s="111">
        <f>20.072</f>
        <v>20.071999999999999</v>
      </c>
      <c r="BD79" s="111">
        <f t="shared" si="23"/>
        <v>0.43036082483333332</v>
      </c>
      <c r="BE79" s="89">
        <v>0.4</v>
      </c>
      <c r="BF79" s="113">
        <v>23.5</v>
      </c>
      <c r="BG79" s="113">
        <v>10.5</v>
      </c>
      <c r="BH79" s="113">
        <v>20.62</v>
      </c>
      <c r="BI79" s="111">
        <f t="shared" si="24"/>
        <v>2.9444357638888894</v>
      </c>
      <c r="BJ79" s="159">
        <v>1.52</v>
      </c>
      <c r="BK79" s="159"/>
      <c r="BL79" s="159"/>
      <c r="BM79" s="124" t="s">
        <v>764</v>
      </c>
      <c r="BN79" s="82">
        <v>6</v>
      </c>
      <c r="BO79" s="82">
        <v>6</v>
      </c>
      <c r="BP79" s="82">
        <v>2</v>
      </c>
      <c r="BQ79" s="27">
        <f t="shared" si="22"/>
        <v>72</v>
      </c>
      <c r="BR79" s="27">
        <f t="shared" si="25"/>
        <v>182.71999999999997</v>
      </c>
      <c r="BS79" s="27" t="s">
        <v>769</v>
      </c>
      <c r="BT79" s="107" t="s">
        <v>770</v>
      </c>
      <c r="BU79" s="81"/>
      <c r="BV79" s="81"/>
      <c r="BW79" s="35"/>
    </row>
    <row r="80" spans="1:77" s="1" customFormat="1" ht="15" customHeight="1" x14ac:dyDescent="0.25">
      <c r="A80" s="106">
        <v>42395</v>
      </c>
      <c r="B80" s="84" t="s">
        <v>14</v>
      </c>
      <c r="C80" s="83" t="s">
        <v>913</v>
      </c>
      <c r="D80" s="83" t="s">
        <v>735</v>
      </c>
      <c r="E80" s="83" t="s">
        <v>730</v>
      </c>
      <c r="F80" s="95" t="s">
        <v>914</v>
      </c>
      <c r="G80" s="41" t="s">
        <v>899</v>
      </c>
      <c r="H80" s="96" t="s">
        <v>915</v>
      </c>
      <c r="I80" s="114"/>
      <c r="J80" s="114"/>
      <c r="K80" s="25"/>
      <c r="L80" s="26"/>
      <c r="M80" s="26"/>
      <c r="N80" s="26"/>
      <c r="O80" s="34"/>
      <c r="P80" s="34"/>
      <c r="Q80" s="34"/>
      <c r="R80" s="34"/>
      <c r="S80" s="34"/>
      <c r="T80" s="34"/>
      <c r="U80" s="25"/>
      <c r="V80" s="33"/>
      <c r="W80" s="25"/>
      <c r="X80" s="33"/>
      <c r="Y80" s="31"/>
      <c r="Z80" s="33"/>
      <c r="AA80" s="25"/>
      <c r="AB80" s="85" t="s">
        <v>916</v>
      </c>
      <c r="AC80" s="114"/>
      <c r="AD80" s="41"/>
      <c r="AE80" s="114"/>
      <c r="AF80" s="114"/>
      <c r="AG80" s="114"/>
      <c r="AH80" s="114"/>
      <c r="AI80" s="114" t="s">
        <v>913</v>
      </c>
      <c r="AJ80" s="114"/>
      <c r="AK80" s="114"/>
      <c r="AL80" s="31" t="s">
        <v>917</v>
      </c>
      <c r="AM80" s="114" t="s">
        <v>913</v>
      </c>
      <c r="AN80" s="114" t="s">
        <v>917</v>
      </c>
      <c r="AO80" s="114"/>
      <c r="AP80" s="114" t="s">
        <v>918</v>
      </c>
      <c r="AQ80" s="85">
        <v>24015</v>
      </c>
      <c r="AR80" s="87">
        <v>21.48</v>
      </c>
      <c r="AS80" s="49" t="s">
        <v>919</v>
      </c>
      <c r="AT80" s="49" t="s">
        <v>920</v>
      </c>
      <c r="AU80" s="123">
        <v>8.94</v>
      </c>
      <c r="AV80" s="123">
        <v>10.31</v>
      </c>
      <c r="AW80" s="123">
        <v>1.34</v>
      </c>
      <c r="AX80" s="36"/>
      <c r="AY80" s="36"/>
      <c r="AZ80" s="88">
        <v>0.21</v>
      </c>
      <c r="BA80" s="84">
        <v>9.0359999999999996</v>
      </c>
      <c r="BB80" s="84">
        <v>2.036</v>
      </c>
      <c r="BC80" s="84">
        <v>11.571999999999999</v>
      </c>
      <c r="BD80" s="111">
        <f t="shared" si="23"/>
        <v>0.12320226233333333</v>
      </c>
      <c r="BE80" s="89">
        <v>0.21</v>
      </c>
      <c r="BF80" s="160">
        <v>13</v>
      </c>
      <c r="BG80" s="161">
        <v>9.75</v>
      </c>
      <c r="BH80" s="161">
        <f>11.62+0.5</f>
        <v>12.12</v>
      </c>
      <c r="BI80" s="162">
        <f t="shared" si="24"/>
        <v>0.88901041666666658</v>
      </c>
      <c r="BJ80" s="163">
        <v>0.81</v>
      </c>
      <c r="BK80" s="163"/>
      <c r="BL80" s="163"/>
      <c r="BM80" s="124" t="s">
        <v>764</v>
      </c>
      <c r="BN80" s="82">
        <v>6</v>
      </c>
      <c r="BO80" s="82">
        <v>14</v>
      </c>
      <c r="BP80" s="82">
        <v>3</v>
      </c>
      <c r="BQ80" s="27">
        <f t="shared" si="22"/>
        <v>252</v>
      </c>
      <c r="BR80" s="27">
        <f t="shared" si="25"/>
        <v>189.86</v>
      </c>
      <c r="BS80" s="82" t="s">
        <v>769</v>
      </c>
      <c r="BT80" s="107" t="s">
        <v>770</v>
      </c>
      <c r="BU80" s="81"/>
      <c r="BV80" s="81"/>
      <c r="BW80" s="35"/>
    </row>
    <row r="81" spans="1:79" s="1" customFormat="1" x14ac:dyDescent="0.25">
      <c r="A81" s="106">
        <v>42395</v>
      </c>
      <c r="B81" s="84" t="s">
        <v>14</v>
      </c>
      <c r="C81" s="82" t="s">
        <v>921</v>
      </c>
      <c r="D81" s="83" t="s">
        <v>735</v>
      </c>
      <c r="E81" s="83" t="s">
        <v>730</v>
      </c>
      <c r="F81" s="95" t="s">
        <v>922</v>
      </c>
      <c r="G81" s="41" t="s">
        <v>923</v>
      </c>
      <c r="H81" s="96" t="s">
        <v>924</v>
      </c>
      <c r="I81" s="114"/>
      <c r="J81" s="114"/>
      <c r="K81" s="25"/>
      <c r="L81" s="26"/>
      <c r="M81" s="26"/>
      <c r="N81" s="26"/>
      <c r="O81" s="34"/>
      <c r="P81" s="34"/>
      <c r="Q81" s="34"/>
      <c r="R81" s="34"/>
      <c r="S81" s="34"/>
      <c r="T81" s="34"/>
      <c r="U81" s="25" t="s">
        <v>925</v>
      </c>
      <c r="V81" s="33"/>
      <c r="W81" s="25"/>
      <c r="X81" s="33"/>
      <c r="Y81" s="31"/>
      <c r="Z81" s="33"/>
      <c r="AA81" s="25"/>
      <c r="AB81" s="85"/>
      <c r="AC81" s="114"/>
      <c r="AD81" s="41"/>
      <c r="AE81" s="114"/>
      <c r="AF81" s="114"/>
      <c r="AG81" s="114"/>
      <c r="AH81" s="114"/>
      <c r="AI81" s="114"/>
      <c r="AJ81" s="114"/>
      <c r="AK81" s="114"/>
      <c r="AL81" s="31" t="s">
        <v>926</v>
      </c>
      <c r="AM81" s="114"/>
      <c r="AN81" s="114"/>
      <c r="AO81" s="114"/>
      <c r="AP81" s="114"/>
      <c r="AQ81" s="85">
        <v>24487</v>
      </c>
      <c r="AR81" s="87">
        <v>25.67</v>
      </c>
      <c r="AS81" s="122" t="s">
        <v>927</v>
      </c>
      <c r="AT81" s="49" t="s">
        <v>928</v>
      </c>
      <c r="AU81" s="123">
        <v>5.05</v>
      </c>
      <c r="AV81" s="123">
        <v>8.83</v>
      </c>
      <c r="AW81" s="123">
        <v>0.86599999999999999</v>
      </c>
      <c r="AX81" s="36"/>
      <c r="AY81" s="36"/>
      <c r="AZ81" s="92">
        <f>0.29*2</f>
        <v>0.57999999999999996</v>
      </c>
      <c r="BA81" s="155">
        <f>5.59+0.036</f>
        <v>5.6259999999999994</v>
      </c>
      <c r="BB81" s="155">
        <v>2.036</v>
      </c>
      <c r="BC81" s="155">
        <f>9.62+0.036+0.036</f>
        <v>9.6919999999999984</v>
      </c>
      <c r="BD81" s="111">
        <f t="shared" si="23"/>
        <v>6.424615909259257E-2</v>
      </c>
      <c r="BE81" s="92">
        <v>0.09</v>
      </c>
      <c r="BF81" s="155">
        <v>13.25</v>
      </c>
      <c r="BG81" s="155">
        <v>10</v>
      </c>
      <c r="BH81" s="155">
        <v>6.25</v>
      </c>
      <c r="BI81" s="111">
        <f t="shared" si="24"/>
        <v>0.47923900462962965</v>
      </c>
      <c r="BJ81" s="159">
        <v>0.59</v>
      </c>
      <c r="BK81" s="159"/>
      <c r="BL81" s="159"/>
      <c r="BM81" s="82" t="s">
        <v>764</v>
      </c>
      <c r="BN81" s="82">
        <v>6</v>
      </c>
      <c r="BO81" s="82">
        <v>14</v>
      </c>
      <c r="BP81" s="82">
        <v>7</v>
      </c>
      <c r="BQ81" s="27">
        <f t="shared" si="22"/>
        <v>588</v>
      </c>
      <c r="BR81" s="27">
        <f t="shared" si="25"/>
        <v>501.78</v>
      </c>
      <c r="BS81" s="27" t="s">
        <v>769</v>
      </c>
      <c r="BT81" s="107" t="s">
        <v>770</v>
      </c>
      <c r="BU81" s="81"/>
      <c r="BV81" s="81"/>
      <c r="BW81" s="35"/>
    </row>
    <row r="82" spans="1:79" s="1" customFormat="1" x14ac:dyDescent="0.25">
      <c r="A82" s="106">
        <v>42395</v>
      </c>
      <c r="B82" s="83" t="s">
        <v>14</v>
      </c>
      <c r="C82" s="83" t="s">
        <v>929</v>
      </c>
      <c r="D82" s="83" t="s">
        <v>735</v>
      </c>
      <c r="E82" s="83" t="s">
        <v>930</v>
      </c>
      <c r="F82" s="164" t="s">
        <v>931</v>
      </c>
      <c r="G82" s="165" t="s">
        <v>738</v>
      </c>
      <c r="H82" s="166" t="s">
        <v>932</v>
      </c>
      <c r="I82" s="114"/>
      <c r="J82" s="114"/>
      <c r="K82" s="25"/>
      <c r="L82" s="26"/>
      <c r="M82" s="26"/>
      <c r="N82" s="26"/>
      <c r="O82" s="34"/>
      <c r="P82" s="34"/>
      <c r="Q82" s="34"/>
      <c r="R82" s="34"/>
      <c r="S82" s="34"/>
      <c r="T82" s="34"/>
      <c r="U82" s="25"/>
      <c r="V82" s="33"/>
      <c r="W82" s="25"/>
      <c r="X82" s="33"/>
      <c r="Y82" s="31"/>
      <c r="Z82" s="33"/>
      <c r="AA82" s="25"/>
      <c r="AB82" s="85" t="s">
        <v>933</v>
      </c>
      <c r="AC82" s="114"/>
      <c r="AD82" s="41"/>
      <c r="AE82" s="114"/>
      <c r="AF82" s="114"/>
      <c r="AG82" s="114"/>
      <c r="AH82" s="114"/>
      <c r="AI82" s="114"/>
      <c r="AJ82" s="114"/>
      <c r="AK82" s="114"/>
      <c r="AL82" s="31" t="s">
        <v>934</v>
      </c>
      <c r="AM82" s="114"/>
      <c r="AN82" s="114" t="s">
        <v>935</v>
      </c>
      <c r="AO82" s="114"/>
      <c r="AP82" s="114" t="s">
        <v>936</v>
      </c>
      <c r="AQ82" s="85">
        <v>49830</v>
      </c>
      <c r="AR82" s="167">
        <v>22.5</v>
      </c>
      <c r="AS82" s="122" t="s">
        <v>937</v>
      </c>
      <c r="AT82" s="122" t="s">
        <v>938</v>
      </c>
      <c r="AU82" s="123">
        <v>12.32</v>
      </c>
      <c r="AV82" s="123">
        <v>10.98</v>
      </c>
      <c r="AW82" s="123">
        <v>1.67</v>
      </c>
      <c r="AX82" s="36"/>
      <c r="AY82" s="36"/>
      <c r="AZ82" s="88">
        <v>0.72</v>
      </c>
      <c r="BA82" s="168">
        <f>13.31+0.036</f>
        <v>13.346</v>
      </c>
      <c r="BB82" s="111">
        <f>2.87+0.036</f>
        <v>2.9060000000000001</v>
      </c>
      <c r="BC82" s="111">
        <f>13.31+0.072</f>
        <v>13.382</v>
      </c>
      <c r="BD82" s="111">
        <f t="shared" si="23"/>
        <v>0.30034749758796297</v>
      </c>
      <c r="BE82" s="89">
        <v>0.36</v>
      </c>
      <c r="BF82" s="113">
        <v>14.5</v>
      </c>
      <c r="BG82" s="113">
        <v>14.25</v>
      </c>
      <c r="BH82" s="113">
        <v>9.5</v>
      </c>
      <c r="BI82" s="111">
        <f t="shared" si="24"/>
        <v>1.1359592013888888</v>
      </c>
      <c r="BJ82" s="159">
        <v>0.99</v>
      </c>
      <c r="BK82" s="159"/>
      <c r="BL82" s="159"/>
      <c r="BM82" s="124" t="s">
        <v>764</v>
      </c>
      <c r="BN82" s="82">
        <v>3</v>
      </c>
      <c r="BO82" s="82">
        <v>6</v>
      </c>
      <c r="BP82" s="82">
        <v>4</v>
      </c>
      <c r="BQ82" s="27">
        <f t="shared" si="22"/>
        <v>72</v>
      </c>
      <c r="BR82" s="27">
        <f t="shared" si="25"/>
        <v>151.52000000000001</v>
      </c>
      <c r="BS82" s="82" t="s">
        <v>765</v>
      </c>
      <c r="BT82" s="90" t="s">
        <v>766</v>
      </c>
      <c r="BU82" s="81"/>
      <c r="BV82" s="81"/>
      <c r="BW82" s="35"/>
    </row>
    <row r="83" spans="1:79" s="1" customFormat="1" x14ac:dyDescent="0.25">
      <c r="A83" s="106">
        <v>42395</v>
      </c>
      <c r="B83" s="83" t="s">
        <v>14</v>
      </c>
      <c r="C83" s="82" t="s">
        <v>939</v>
      </c>
      <c r="D83" s="83" t="s">
        <v>735</v>
      </c>
      <c r="E83" s="169" t="s">
        <v>940</v>
      </c>
      <c r="F83" s="95" t="s">
        <v>941</v>
      </c>
      <c r="G83" s="85" t="s">
        <v>908</v>
      </c>
      <c r="H83" s="96" t="s">
        <v>942</v>
      </c>
      <c r="I83" s="170"/>
      <c r="J83" s="114"/>
      <c r="K83" s="25"/>
      <c r="L83" s="26"/>
      <c r="M83" s="26"/>
      <c r="N83" s="26"/>
      <c r="O83" s="34"/>
      <c r="P83" s="34"/>
      <c r="Q83" s="34"/>
      <c r="R83" s="34"/>
      <c r="S83" s="34"/>
      <c r="T83" s="34"/>
      <c r="U83" s="25"/>
      <c r="V83" s="33"/>
      <c r="W83" s="25"/>
      <c r="X83" s="33"/>
      <c r="Y83" s="31"/>
      <c r="Z83" s="33"/>
      <c r="AA83" s="25" t="s">
        <v>943</v>
      </c>
      <c r="AB83" s="85"/>
      <c r="AC83" s="114"/>
      <c r="AD83" s="41"/>
      <c r="AE83" s="114"/>
      <c r="AF83" s="114"/>
      <c r="AG83" s="114"/>
      <c r="AH83" s="114"/>
      <c r="AI83" s="114"/>
      <c r="AJ83" s="85"/>
      <c r="AK83" s="114"/>
      <c r="AL83" s="24"/>
      <c r="AM83" s="114"/>
      <c r="AN83" s="114"/>
      <c r="AO83" s="114"/>
      <c r="AP83" s="114"/>
      <c r="AQ83" s="171">
        <v>57161</v>
      </c>
      <c r="AR83" s="87">
        <v>25.72</v>
      </c>
      <c r="AS83" s="49" t="s">
        <v>944</v>
      </c>
      <c r="AT83" s="49" t="s">
        <v>945</v>
      </c>
      <c r="AU83" s="36"/>
      <c r="AV83" s="36"/>
      <c r="AW83" s="36"/>
      <c r="AX83" s="172">
        <v>2.98</v>
      </c>
      <c r="AY83" s="172">
        <v>7.87</v>
      </c>
      <c r="AZ83" s="91">
        <f>0.28</f>
        <v>0.28000000000000003</v>
      </c>
      <c r="BA83" s="173">
        <f>3.81+0.036</f>
        <v>3.8460000000000001</v>
      </c>
      <c r="BB83" s="155">
        <f>3.81+0.036</f>
        <v>3.8460000000000001</v>
      </c>
      <c r="BC83" s="155">
        <f>8+(4*0.018)</f>
        <v>8.0719999999999992</v>
      </c>
      <c r="BD83" s="111">
        <f t="shared" si="23"/>
        <v>6.9096488166666664E-2</v>
      </c>
      <c r="BE83" s="92">
        <f>0.09</f>
        <v>0.09</v>
      </c>
      <c r="BF83" s="155">
        <f>15.56+0.25</f>
        <v>15.81</v>
      </c>
      <c r="BG83" s="155">
        <f>11.68+0.25</f>
        <v>11.93</v>
      </c>
      <c r="BH83" s="155">
        <v>8.6199999999999992</v>
      </c>
      <c r="BI83" s="111">
        <f t="shared" si="24"/>
        <v>0.94088347569444442</v>
      </c>
      <c r="BJ83" s="159">
        <v>0.87</v>
      </c>
      <c r="BK83" s="159"/>
      <c r="BL83" s="159"/>
      <c r="BM83" s="82" t="s">
        <v>764</v>
      </c>
      <c r="BN83" s="82">
        <v>12</v>
      </c>
      <c r="BO83" s="82">
        <v>10</v>
      </c>
      <c r="BP83" s="82">
        <v>5</v>
      </c>
      <c r="BQ83" s="27">
        <f t="shared" si="22"/>
        <v>600</v>
      </c>
      <c r="BR83" s="27">
        <f t="shared" si="25"/>
        <v>315.5</v>
      </c>
      <c r="BS83" s="27" t="s">
        <v>946</v>
      </c>
      <c r="BT83" s="27" t="s">
        <v>780</v>
      </c>
      <c r="BU83" s="81"/>
      <c r="BV83" s="81"/>
      <c r="BW83" s="35"/>
      <c r="BX83" s="81"/>
    </row>
    <row r="84" spans="1:79" s="1" customFormat="1" x14ac:dyDescent="0.25">
      <c r="A84" s="106">
        <v>42395</v>
      </c>
      <c r="B84" s="83" t="s">
        <v>14</v>
      </c>
      <c r="C84" s="83" t="s">
        <v>947</v>
      </c>
      <c r="D84" s="83" t="s">
        <v>735</v>
      </c>
      <c r="E84" s="83" t="s">
        <v>940</v>
      </c>
      <c r="F84" s="174" t="s">
        <v>948</v>
      </c>
      <c r="G84" s="175" t="s">
        <v>759</v>
      </c>
      <c r="H84" s="176">
        <v>6511800309</v>
      </c>
      <c r="I84" s="114"/>
      <c r="J84" s="114"/>
      <c r="K84" s="25"/>
      <c r="L84" s="26"/>
      <c r="M84" s="26"/>
      <c r="N84" s="26"/>
      <c r="O84" s="34"/>
      <c r="P84" s="34"/>
      <c r="Q84" s="34"/>
      <c r="R84" s="34"/>
      <c r="S84" s="34"/>
      <c r="T84" s="34"/>
      <c r="U84" s="25"/>
      <c r="V84" s="33"/>
      <c r="W84" s="25"/>
      <c r="X84" s="33"/>
      <c r="Y84" s="31"/>
      <c r="Z84" s="33"/>
      <c r="AA84" s="25"/>
      <c r="AB84" s="85"/>
      <c r="AC84" s="114"/>
      <c r="AD84" s="41"/>
      <c r="AE84" s="114"/>
      <c r="AF84" s="114"/>
      <c r="AG84" s="114"/>
      <c r="AH84" s="114"/>
      <c r="AI84" s="114"/>
      <c r="AJ84" s="85"/>
      <c r="AK84" s="114"/>
      <c r="AL84" s="24"/>
      <c r="AM84" s="114"/>
      <c r="AN84" s="114"/>
      <c r="AO84" s="114"/>
      <c r="AP84" s="114"/>
      <c r="AQ84" s="85"/>
      <c r="AR84" s="177">
        <v>15.33</v>
      </c>
      <c r="AS84" s="49" t="s">
        <v>949</v>
      </c>
      <c r="AT84" s="49" t="s">
        <v>950</v>
      </c>
      <c r="AU84" s="36"/>
      <c r="AV84" s="36"/>
      <c r="AW84" s="36"/>
      <c r="AX84" s="172">
        <v>2.56</v>
      </c>
      <c r="AY84" s="172">
        <v>4.3499999999999996</v>
      </c>
      <c r="AZ84" s="88">
        <f>0.18</f>
        <v>0.18</v>
      </c>
      <c r="BA84" s="178">
        <f>2.755+0.018+0.018</f>
        <v>2.7909999999999995</v>
      </c>
      <c r="BB84" s="84">
        <f>2.755+0.018+0.018</f>
        <v>2.7909999999999995</v>
      </c>
      <c r="BC84" s="84">
        <f>4.842+(0.018*4)</f>
        <v>4.9139999999999997</v>
      </c>
      <c r="BD84" s="111">
        <f t="shared" si="23"/>
        <v>2.2151905343749986E-2</v>
      </c>
      <c r="BE84" s="89">
        <f>0.1</f>
        <v>0.1</v>
      </c>
      <c r="BF84" s="179">
        <f>11.42+0.25</f>
        <v>11.67</v>
      </c>
      <c r="BG84" s="179">
        <f>8.66+0.25</f>
        <v>8.91</v>
      </c>
      <c r="BH84" s="179">
        <f>5.43+0.5</f>
        <v>5.93</v>
      </c>
      <c r="BI84" s="111">
        <f t="shared" si="24"/>
        <v>0.35682848437499998</v>
      </c>
      <c r="BJ84" s="158">
        <v>0.25</v>
      </c>
      <c r="BK84" s="158"/>
      <c r="BL84" s="158"/>
      <c r="BM84" s="124" t="s">
        <v>764</v>
      </c>
      <c r="BN84" s="82">
        <v>12</v>
      </c>
      <c r="BO84" s="82">
        <v>17</v>
      </c>
      <c r="BP84" s="82">
        <v>7</v>
      </c>
      <c r="BQ84" s="27">
        <f t="shared" si="22"/>
        <v>1428</v>
      </c>
      <c r="BR84" s="27">
        <f t="shared" si="25"/>
        <v>479.59000000000003</v>
      </c>
      <c r="BS84" s="27" t="s">
        <v>951</v>
      </c>
      <c r="BT84" s="27" t="s">
        <v>780</v>
      </c>
      <c r="BU84" s="81"/>
      <c r="BV84" s="81"/>
      <c r="BW84" s="35"/>
      <c r="BX84" s="81"/>
    </row>
    <row r="85" spans="1:79" s="1" customFormat="1" x14ac:dyDescent="0.25">
      <c r="A85" s="106">
        <v>42395</v>
      </c>
      <c r="B85" s="83" t="s">
        <v>14</v>
      </c>
      <c r="C85" s="83" t="s">
        <v>952</v>
      </c>
      <c r="D85" s="83" t="s">
        <v>735</v>
      </c>
      <c r="E85" s="169" t="s">
        <v>940</v>
      </c>
      <c r="F85" s="24" t="s">
        <v>953</v>
      </c>
      <c r="G85" s="85" t="s">
        <v>737</v>
      </c>
      <c r="H85" s="180">
        <v>55577033</v>
      </c>
      <c r="I85" s="170"/>
      <c r="J85" s="114"/>
      <c r="K85" s="25"/>
      <c r="L85" s="26"/>
      <c r="M85" s="26"/>
      <c r="N85" s="26"/>
      <c r="O85" s="34"/>
      <c r="P85" s="34"/>
      <c r="Q85" s="34"/>
      <c r="R85" s="34"/>
      <c r="S85" s="34"/>
      <c r="T85" s="34"/>
      <c r="U85" s="25"/>
      <c r="V85" s="33"/>
      <c r="W85" s="25"/>
      <c r="X85" s="33"/>
      <c r="Y85" s="31"/>
      <c r="Z85" s="33"/>
      <c r="AA85" s="25"/>
      <c r="AB85" s="85"/>
      <c r="AC85" s="114"/>
      <c r="AD85" s="41"/>
      <c r="AE85" s="114"/>
      <c r="AF85" s="114"/>
      <c r="AG85" s="114"/>
      <c r="AH85" s="114"/>
      <c r="AI85" s="114"/>
      <c r="AJ85" s="85"/>
      <c r="AK85" s="114"/>
      <c r="AL85" s="24"/>
      <c r="AM85" s="114"/>
      <c r="AN85" s="114"/>
      <c r="AO85" s="114"/>
      <c r="AP85" s="114"/>
      <c r="AQ85" s="171"/>
      <c r="AR85" s="87">
        <v>10.27</v>
      </c>
      <c r="AS85" s="49" t="s">
        <v>954</v>
      </c>
      <c r="AT85" s="49" t="s">
        <v>955</v>
      </c>
      <c r="AU85" s="36"/>
      <c r="AV85" s="36"/>
      <c r="AW85" s="36"/>
      <c r="AX85" s="172">
        <v>2.5870000000000002</v>
      </c>
      <c r="AY85" s="172">
        <v>4.1340000000000003</v>
      </c>
      <c r="AZ85" s="88">
        <f>0.13</f>
        <v>0.13</v>
      </c>
      <c r="BA85" s="178">
        <f>2.755+0.018+0.018</f>
        <v>2.7909999999999995</v>
      </c>
      <c r="BB85" s="84">
        <f>2.755+0.018+0.018</f>
        <v>2.7909999999999995</v>
      </c>
      <c r="BC85" s="84">
        <f>4.33+(0.018*4)</f>
        <v>4.4020000000000001</v>
      </c>
      <c r="BD85" s="111">
        <f t="shared" si="23"/>
        <v>1.9843851714120366E-2</v>
      </c>
      <c r="BE85" s="89">
        <f>0.1</f>
        <v>0.1</v>
      </c>
      <c r="BF85" s="179">
        <f>11.417+0.25</f>
        <v>11.667</v>
      </c>
      <c r="BG85" s="179">
        <f>8.582+0.25</f>
        <v>8.8320000000000007</v>
      </c>
      <c r="BH85" s="179">
        <f>4.803+0.5</f>
        <v>5.3029999999999999</v>
      </c>
      <c r="BI85" s="111">
        <f t="shared" si="24"/>
        <v>0.31622496066666667</v>
      </c>
      <c r="BJ85" s="159">
        <v>0.25</v>
      </c>
      <c r="BK85" s="159"/>
      <c r="BL85" s="159"/>
      <c r="BM85" s="124" t="s">
        <v>764</v>
      </c>
      <c r="BN85" s="82">
        <v>12</v>
      </c>
      <c r="BO85" s="82">
        <v>17</v>
      </c>
      <c r="BP85" s="82">
        <v>8</v>
      </c>
      <c r="BQ85" s="27">
        <f t="shared" si="22"/>
        <v>1632</v>
      </c>
      <c r="BR85" s="27">
        <f t="shared" si="25"/>
        <v>459.36</v>
      </c>
      <c r="BS85" s="82" t="s">
        <v>769</v>
      </c>
      <c r="BT85" s="27" t="s">
        <v>780</v>
      </c>
      <c r="BU85" s="81"/>
      <c r="BV85" s="81"/>
      <c r="BW85" s="35"/>
      <c r="BX85" s="81"/>
    </row>
    <row r="86" spans="1:79" s="1" customFormat="1" x14ac:dyDescent="0.25">
      <c r="A86" s="106">
        <v>42395</v>
      </c>
      <c r="B86" s="83" t="s">
        <v>14</v>
      </c>
      <c r="C86" s="83" t="s">
        <v>956</v>
      </c>
      <c r="D86" s="83" t="s">
        <v>735</v>
      </c>
      <c r="E86" s="83" t="s">
        <v>940</v>
      </c>
      <c r="F86" s="95" t="s">
        <v>957</v>
      </c>
      <c r="G86" s="85" t="s">
        <v>908</v>
      </c>
      <c r="H86" s="181" t="s">
        <v>958</v>
      </c>
      <c r="I86" s="114"/>
      <c r="J86" s="114"/>
      <c r="K86" s="25"/>
      <c r="L86" s="26"/>
      <c r="M86" s="26"/>
      <c r="N86" s="26"/>
      <c r="O86" s="34"/>
      <c r="P86" s="34"/>
      <c r="Q86" s="34"/>
      <c r="R86" s="34"/>
      <c r="S86" s="34"/>
      <c r="T86" s="34"/>
      <c r="U86" s="25"/>
      <c r="V86" s="33"/>
      <c r="W86" s="25"/>
      <c r="X86" s="33"/>
      <c r="Y86" s="31"/>
      <c r="Z86" s="33"/>
      <c r="AA86" s="25"/>
      <c r="AB86" s="85"/>
      <c r="AC86" s="114"/>
      <c r="AD86" s="41"/>
      <c r="AE86" s="114"/>
      <c r="AF86" s="114"/>
      <c r="AG86" s="114"/>
      <c r="AH86" s="114"/>
      <c r="AI86" s="114"/>
      <c r="AJ86" s="85"/>
      <c r="AK86" s="114"/>
      <c r="AL86" s="24"/>
      <c r="AM86" s="114"/>
      <c r="AN86" s="114"/>
      <c r="AO86" s="114"/>
      <c r="AP86" s="114"/>
      <c r="AQ86" s="85"/>
      <c r="AR86" s="87">
        <v>10.45</v>
      </c>
      <c r="AS86" s="49" t="s">
        <v>959</v>
      </c>
      <c r="AT86" s="49" t="s">
        <v>960</v>
      </c>
      <c r="AU86" s="36"/>
      <c r="AV86" s="36"/>
      <c r="AW86" s="36"/>
      <c r="AX86" s="172">
        <v>2.677</v>
      </c>
      <c r="AY86" s="172">
        <v>4.6849999999999996</v>
      </c>
      <c r="AZ86" s="91">
        <f>0.2</f>
        <v>0.2</v>
      </c>
      <c r="BA86" s="84">
        <f>2.755+0.036</f>
        <v>2.7909999999999999</v>
      </c>
      <c r="BB86" s="84">
        <f>2.755+0.036</f>
        <v>2.7909999999999999</v>
      </c>
      <c r="BC86" s="84">
        <f>4.724+0.072</f>
        <v>4.7960000000000003</v>
      </c>
      <c r="BD86" s="111">
        <f t="shared" si="23"/>
        <v>2.1619971108796297E-2</v>
      </c>
      <c r="BE86" s="92">
        <f>0.1</f>
        <v>0.1</v>
      </c>
      <c r="BF86" s="179">
        <f>11.417+0.25</f>
        <v>11.667</v>
      </c>
      <c r="BG86" s="179">
        <f>8.582+0.25</f>
        <v>8.8320000000000007</v>
      </c>
      <c r="BH86" s="179">
        <f>5.196+0.5</f>
        <v>5.6959999999999997</v>
      </c>
      <c r="BI86" s="111">
        <f t="shared" si="24"/>
        <v>0.3396600746666667</v>
      </c>
      <c r="BJ86" s="158">
        <f>0.25</f>
        <v>0.25</v>
      </c>
      <c r="BK86" s="158"/>
      <c r="BL86" s="158"/>
      <c r="BM86" s="124" t="s">
        <v>764</v>
      </c>
      <c r="BN86" s="27">
        <v>12</v>
      </c>
      <c r="BO86" s="27">
        <v>17</v>
      </c>
      <c r="BP86" s="27">
        <v>8</v>
      </c>
      <c r="BQ86" s="27">
        <f t="shared" si="22"/>
        <v>1632</v>
      </c>
      <c r="BR86" s="27">
        <f t="shared" si="25"/>
        <v>573.6</v>
      </c>
      <c r="BS86" s="27" t="s">
        <v>769</v>
      </c>
      <c r="BT86" s="27" t="s">
        <v>780</v>
      </c>
      <c r="BU86" s="81"/>
      <c r="BV86" s="81"/>
      <c r="BW86" s="35"/>
      <c r="BX86" s="81"/>
    </row>
    <row r="87" spans="1:79" s="1" customFormat="1" x14ac:dyDescent="0.25">
      <c r="A87" s="106">
        <v>42395</v>
      </c>
      <c r="B87" s="84" t="s">
        <v>14</v>
      </c>
      <c r="C87" s="83" t="s">
        <v>961</v>
      </c>
      <c r="D87" s="83" t="s">
        <v>735</v>
      </c>
      <c r="E87" s="169" t="s">
        <v>940</v>
      </c>
      <c r="F87" s="95" t="s">
        <v>962</v>
      </c>
      <c r="G87" s="41" t="s">
        <v>963</v>
      </c>
      <c r="H87" s="96" t="s">
        <v>964</v>
      </c>
      <c r="I87" s="114"/>
      <c r="J87" s="114"/>
      <c r="K87" s="25"/>
      <c r="L87" s="26"/>
      <c r="M87" s="26"/>
      <c r="N87" s="26"/>
      <c r="O87" s="34"/>
      <c r="P87" s="34"/>
      <c r="Q87" s="34"/>
      <c r="R87" s="34"/>
      <c r="S87" s="34"/>
      <c r="T87" s="34"/>
      <c r="U87" s="25" t="s">
        <v>965</v>
      </c>
      <c r="V87" s="33"/>
      <c r="W87" s="25"/>
      <c r="X87" s="33"/>
      <c r="Y87" s="31"/>
      <c r="Z87" s="33" t="s">
        <v>961</v>
      </c>
      <c r="AA87" s="25"/>
      <c r="AB87" s="85" t="s">
        <v>966</v>
      </c>
      <c r="AC87" s="114"/>
      <c r="AD87" s="41"/>
      <c r="AE87" s="114"/>
      <c r="AF87" s="114"/>
      <c r="AG87" s="114" t="s">
        <v>961</v>
      </c>
      <c r="AH87" s="114"/>
      <c r="AI87" s="114"/>
      <c r="AJ87" s="114"/>
      <c r="AK87" s="114"/>
      <c r="AL87" s="31" t="s">
        <v>967</v>
      </c>
      <c r="AM87" s="114"/>
      <c r="AN87" s="114" t="s">
        <v>968</v>
      </c>
      <c r="AO87" s="114"/>
      <c r="AP87" s="114" t="s">
        <v>968</v>
      </c>
      <c r="AQ87" s="85"/>
      <c r="AR87" s="87">
        <v>16.7</v>
      </c>
      <c r="AS87" s="49" t="s">
        <v>969</v>
      </c>
      <c r="AT87" s="49" t="s">
        <v>970</v>
      </c>
      <c r="AU87" s="36"/>
      <c r="AV87" s="36"/>
      <c r="AW87" s="36"/>
      <c r="AX87" s="172">
        <v>2.6</v>
      </c>
      <c r="AY87" s="172">
        <v>4.88</v>
      </c>
      <c r="AZ87" s="88">
        <v>0.215</v>
      </c>
      <c r="BA87" s="84">
        <f>2.755+0.036</f>
        <v>2.7909999999999999</v>
      </c>
      <c r="BB87" s="84">
        <f>2.755+0.036</f>
        <v>2.7909999999999999</v>
      </c>
      <c r="BC87" s="84">
        <f>4.921+0.072</f>
        <v>4.9930000000000003</v>
      </c>
      <c r="BD87" s="111">
        <f t="shared" si="23"/>
        <v>2.2508030806134258E-2</v>
      </c>
      <c r="BE87" s="89">
        <v>5.0000000000000001E-3</v>
      </c>
      <c r="BF87" s="113">
        <f>11.417+0.25</f>
        <v>11.667</v>
      </c>
      <c r="BG87" s="113">
        <f>8.661+0.25</f>
        <v>8.9109999999999996</v>
      </c>
      <c r="BH87" s="113">
        <f>5.118+0.5</f>
        <v>5.6180000000000003</v>
      </c>
      <c r="BI87" s="111">
        <f t="shared" si="24"/>
        <v>0.33800539969097226</v>
      </c>
      <c r="BJ87" s="159">
        <v>2.1999999999999999E-2</v>
      </c>
      <c r="BK87" s="159"/>
      <c r="BL87" s="159"/>
      <c r="BM87" s="124" t="s">
        <v>764</v>
      </c>
      <c r="BN87" s="82">
        <v>12</v>
      </c>
      <c r="BO87" s="82">
        <v>17</v>
      </c>
      <c r="BP87" s="82">
        <v>8</v>
      </c>
      <c r="BQ87" s="27">
        <f t="shared" si="22"/>
        <v>1632</v>
      </c>
      <c r="BR87" s="27">
        <v>395</v>
      </c>
      <c r="BS87" s="27" t="s">
        <v>779</v>
      </c>
      <c r="BT87" s="27" t="s">
        <v>780</v>
      </c>
      <c r="BU87" s="81"/>
      <c r="BV87" s="81"/>
      <c r="BW87" s="35"/>
    </row>
    <row r="88" spans="1:79" s="1" customFormat="1" x14ac:dyDescent="0.25">
      <c r="A88" s="106">
        <v>42395</v>
      </c>
      <c r="B88" s="84" t="s">
        <v>14</v>
      </c>
      <c r="C88" s="83" t="s">
        <v>971</v>
      </c>
      <c r="D88" s="83" t="s">
        <v>735</v>
      </c>
      <c r="E88" s="83" t="s">
        <v>940</v>
      </c>
      <c r="F88" s="95" t="s">
        <v>972</v>
      </c>
      <c r="G88" s="41" t="s">
        <v>899</v>
      </c>
      <c r="H88" s="96" t="s">
        <v>973</v>
      </c>
      <c r="I88" s="114"/>
      <c r="J88" s="114"/>
      <c r="K88" s="25"/>
      <c r="L88" s="26"/>
      <c r="M88" s="26"/>
      <c r="N88" s="26"/>
      <c r="O88" s="34"/>
      <c r="P88" s="34"/>
      <c r="Q88" s="34"/>
      <c r="R88" s="34"/>
      <c r="S88" s="34"/>
      <c r="T88" s="34"/>
      <c r="U88" s="25"/>
      <c r="V88" s="33"/>
      <c r="W88" s="25"/>
      <c r="X88" s="33"/>
      <c r="Y88" s="31"/>
      <c r="Z88" s="33"/>
      <c r="AA88" s="25"/>
      <c r="AB88" s="85"/>
      <c r="AC88" s="114"/>
      <c r="AD88" s="41"/>
      <c r="AE88" s="114"/>
      <c r="AF88" s="114"/>
      <c r="AG88" s="114"/>
      <c r="AH88" s="114"/>
      <c r="AI88" s="114" t="s">
        <v>971</v>
      </c>
      <c r="AJ88" s="114"/>
      <c r="AK88" s="114"/>
      <c r="AL88" s="31"/>
      <c r="AM88" s="114"/>
      <c r="AN88" s="114" t="s">
        <v>974</v>
      </c>
      <c r="AO88" s="114"/>
      <c r="AP88" s="114" t="s">
        <v>974</v>
      </c>
      <c r="AQ88" s="85" t="s">
        <v>975</v>
      </c>
      <c r="AR88" s="87">
        <v>16.93</v>
      </c>
      <c r="AS88" s="49" t="s">
        <v>919</v>
      </c>
      <c r="AT88" s="49" t="s">
        <v>976</v>
      </c>
      <c r="AU88" s="36"/>
      <c r="AV88" s="36"/>
      <c r="AW88" s="36"/>
      <c r="AX88" s="172">
        <v>3.25</v>
      </c>
      <c r="AY88" s="172">
        <v>2.83</v>
      </c>
      <c r="AZ88" s="182">
        <v>0.15</v>
      </c>
      <c r="BA88" s="155">
        <f>3.346+0.036</f>
        <v>3.3820000000000001</v>
      </c>
      <c r="BB88" s="155">
        <f>3.346+0.036</f>
        <v>3.3820000000000001</v>
      </c>
      <c r="BC88" s="155">
        <f>3.07+0.072</f>
        <v>3.1419999999999999</v>
      </c>
      <c r="BD88" s="111">
        <f t="shared" si="23"/>
        <v>2.0797428939814816E-2</v>
      </c>
      <c r="BE88" s="89">
        <v>0.1</v>
      </c>
      <c r="BF88" s="113">
        <f>13.78+0.25</f>
        <v>14.03</v>
      </c>
      <c r="BG88" s="113">
        <f>10.43+0.25</f>
        <v>10.68</v>
      </c>
      <c r="BH88" s="113">
        <f>3.58+0.5</f>
        <v>4.08</v>
      </c>
      <c r="BI88" s="111">
        <f t="shared" si="24"/>
        <v>0.3537898333333333</v>
      </c>
      <c r="BJ88" s="159">
        <v>0.25</v>
      </c>
      <c r="BK88" s="159"/>
      <c r="BL88" s="159"/>
      <c r="BM88" s="124" t="s">
        <v>764</v>
      </c>
      <c r="BN88" s="27">
        <v>12</v>
      </c>
      <c r="BO88" s="27">
        <v>11</v>
      </c>
      <c r="BP88" s="27">
        <v>11</v>
      </c>
      <c r="BQ88" s="27">
        <f t="shared" si="22"/>
        <v>1452</v>
      </c>
      <c r="BR88" s="27">
        <v>447.21600000000001</v>
      </c>
      <c r="BS88" s="82" t="s">
        <v>951</v>
      </c>
      <c r="BT88" s="90" t="s">
        <v>780</v>
      </c>
      <c r="BU88" s="81"/>
      <c r="BV88" s="81"/>
      <c r="BW88" s="35"/>
    </row>
    <row r="89" spans="1:79" s="1" customFormat="1" x14ac:dyDescent="0.25">
      <c r="A89" s="106">
        <v>42395</v>
      </c>
      <c r="B89" s="83" t="s">
        <v>14</v>
      </c>
      <c r="C89" s="83" t="s">
        <v>977</v>
      </c>
      <c r="D89" s="83" t="s">
        <v>60</v>
      </c>
      <c r="E89" s="120" t="s">
        <v>978</v>
      </c>
      <c r="F89" s="95" t="s">
        <v>979</v>
      </c>
      <c r="G89" s="41" t="s">
        <v>980</v>
      </c>
      <c r="H89" s="96" t="s">
        <v>981</v>
      </c>
      <c r="I89" s="114"/>
      <c r="J89" s="114"/>
      <c r="K89" s="25"/>
      <c r="L89" s="26"/>
      <c r="M89" s="26"/>
      <c r="N89" s="26"/>
      <c r="O89" s="34"/>
      <c r="P89" s="34"/>
      <c r="Q89" s="34"/>
      <c r="R89" s="34"/>
      <c r="S89" s="34"/>
      <c r="T89" s="34"/>
      <c r="U89" s="25"/>
      <c r="V89" s="33"/>
      <c r="W89" s="25"/>
      <c r="X89" s="33"/>
      <c r="Y89" s="31" t="s">
        <v>982</v>
      </c>
      <c r="Z89" s="33"/>
      <c r="AA89" s="25"/>
      <c r="AB89" s="85"/>
      <c r="AC89" s="114"/>
      <c r="AD89" s="41"/>
      <c r="AE89" s="114"/>
      <c r="AF89" s="114"/>
      <c r="AG89" s="114"/>
      <c r="AH89" s="114"/>
      <c r="AI89" s="114"/>
      <c r="AJ89" s="114"/>
      <c r="AK89" s="114"/>
      <c r="AL89" s="31"/>
      <c r="AM89" s="114"/>
      <c r="AN89" s="114"/>
      <c r="AO89" s="114"/>
      <c r="AP89" s="114"/>
      <c r="AQ89" s="85"/>
      <c r="AR89" s="87">
        <v>43.11</v>
      </c>
      <c r="AS89" s="93" t="s">
        <v>983</v>
      </c>
      <c r="AT89" s="93" t="s">
        <v>984</v>
      </c>
      <c r="AU89" s="112"/>
      <c r="AV89" s="112"/>
      <c r="AW89" s="112"/>
      <c r="AX89" s="112">
        <v>3.9089999999999998</v>
      </c>
      <c r="AY89" s="112">
        <v>5.9450000000000003</v>
      </c>
      <c r="AZ89" s="89">
        <v>1.5</v>
      </c>
      <c r="BA89" s="155">
        <v>4.25</v>
      </c>
      <c r="BB89" s="155">
        <v>4.25</v>
      </c>
      <c r="BC89" s="155">
        <v>7</v>
      </c>
      <c r="BD89" s="111">
        <f t="shared" si="23"/>
        <v>7.3169849537037035E-2</v>
      </c>
      <c r="BE89" s="92">
        <v>1.5</v>
      </c>
      <c r="BF89" s="403" t="s">
        <v>985</v>
      </c>
      <c r="BG89" s="404"/>
      <c r="BH89" s="404"/>
      <c r="BI89" s="404"/>
      <c r="BJ89" s="405"/>
      <c r="BK89" s="338"/>
      <c r="BL89" s="338"/>
      <c r="BM89" s="44" t="s">
        <v>764</v>
      </c>
      <c r="BN89" s="84">
        <v>1</v>
      </c>
      <c r="BO89" s="84">
        <v>48</v>
      </c>
      <c r="BP89" s="84">
        <v>3</v>
      </c>
      <c r="BQ89" s="27">
        <f t="shared" si="22"/>
        <v>144</v>
      </c>
      <c r="BR89" s="27">
        <f>((((AZ89+BE89)*BN89)+BJ89)*BO89*BP89)+50</f>
        <v>482</v>
      </c>
      <c r="BS89" s="84" t="s">
        <v>765</v>
      </c>
      <c r="BT89" s="94" t="s">
        <v>780</v>
      </c>
      <c r="BU89" s="183"/>
      <c r="BV89" s="183"/>
      <c r="BW89" s="35"/>
    </row>
    <row r="90" spans="1:79" s="1" customFormat="1" x14ac:dyDescent="0.25">
      <c r="A90" s="184">
        <v>42341</v>
      </c>
      <c r="B90" s="83" t="s">
        <v>14</v>
      </c>
      <c r="C90" s="83" t="s">
        <v>986</v>
      </c>
      <c r="D90" s="114" t="s">
        <v>735</v>
      </c>
      <c r="E90" s="83" t="s">
        <v>987</v>
      </c>
      <c r="F90" s="185" t="s">
        <v>988</v>
      </c>
      <c r="G90" s="82" t="s">
        <v>798</v>
      </c>
      <c r="H90" s="41" t="s">
        <v>989</v>
      </c>
      <c r="I90" s="114"/>
      <c r="J90" s="114"/>
      <c r="K90" s="25"/>
      <c r="L90" s="26"/>
      <c r="M90" s="26"/>
      <c r="N90" s="26"/>
      <c r="O90" s="34"/>
      <c r="P90" s="34"/>
      <c r="Q90" s="34"/>
      <c r="R90" s="34"/>
      <c r="S90" s="34"/>
      <c r="T90" s="34"/>
      <c r="U90" s="25"/>
      <c r="V90" s="33"/>
      <c r="W90" s="25"/>
      <c r="X90" s="33"/>
      <c r="Y90" s="31"/>
      <c r="Z90" s="33"/>
      <c r="AA90" s="25"/>
      <c r="AB90" s="82" t="s">
        <v>990</v>
      </c>
      <c r="AC90" s="84" t="s">
        <v>991</v>
      </c>
      <c r="AD90" s="41"/>
      <c r="AE90" s="114"/>
      <c r="AF90" s="114"/>
      <c r="AG90" s="114"/>
      <c r="AH90" s="114"/>
      <c r="AI90" s="114"/>
      <c r="AJ90" s="114"/>
      <c r="AK90" s="114"/>
      <c r="AL90" s="84" t="s">
        <v>992</v>
      </c>
      <c r="AM90" s="114"/>
      <c r="AN90" s="114"/>
      <c r="AO90" s="114"/>
      <c r="AP90" s="114"/>
      <c r="AQ90" s="186">
        <v>49073</v>
      </c>
      <c r="AR90" s="194">
        <v>14.99</v>
      </c>
      <c r="AS90" s="49" t="s">
        <v>997</v>
      </c>
      <c r="AT90" s="49" t="s">
        <v>998</v>
      </c>
      <c r="AU90" s="123">
        <v>11.38</v>
      </c>
      <c r="AV90" s="123">
        <v>11.5</v>
      </c>
      <c r="AW90" s="123">
        <v>1.08</v>
      </c>
      <c r="AX90" s="36"/>
      <c r="AY90" s="36"/>
      <c r="AZ90" s="187"/>
      <c r="BA90" s="51">
        <f>11.5+0.018+0.018</f>
        <v>11.536000000000001</v>
      </c>
      <c r="BB90" s="51">
        <f>2+0.018+0.018</f>
        <v>2.0359999999999996</v>
      </c>
      <c r="BC90" s="51">
        <f>11.5+(4*0.018)</f>
        <v>11.571999999999999</v>
      </c>
      <c r="BD90" s="51">
        <f t="shared" si="23"/>
        <v>0.15728876696296293</v>
      </c>
      <c r="BE90" s="188">
        <f>0.25+0.661</f>
        <v>0.91100000000000003</v>
      </c>
      <c r="BF90" s="189">
        <v>16.37</v>
      </c>
      <c r="BG90" s="189">
        <v>12.5</v>
      </c>
      <c r="BH90" s="189">
        <v>12.75</v>
      </c>
      <c r="BI90" s="51">
        <f t="shared" ref="BI90:BI101" si="26">(BH90*BG90*BF90)/1728</f>
        <v>1.5098198784722223</v>
      </c>
      <c r="BJ90" s="190">
        <v>1.04</v>
      </c>
      <c r="BK90" s="190"/>
      <c r="BL90" s="190"/>
      <c r="BM90" s="191" t="s">
        <v>764</v>
      </c>
      <c r="BN90" s="24">
        <v>6</v>
      </c>
      <c r="BO90" s="24">
        <v>12</v>
      </c>
      <c r="BP90" s="24">
        <v>3</v>
      </c>
      <c r="BQ90" s="192">
        <f t="shared" si="22"/>
        <v>216</v>
      </c>
      <c r="BR90" s="27">
        <f t="shared" ref="BR90:BR91" si="27">((((AZ90+BE90)*BN90)+BI90)*BO90*BP90)+50</f>
        <v>301.12951562500001</v>
      </c>
      <c r="BS90" s="27" t="s">
        <v>769</v>
      </c>
      <c r="BT90" s="24" t="s">
        <v>766</v>
      </c>
      <c r="BU90" s="183"/>
      <c r="BV90" s="35"/>
      <c r="BW90" s="35"/>
      <c r="BX90" s="81"/>
      <c r="BY90" s="81"/>
      <c r="BZ90" s="81"/>
      <c r="CA90" s="81"/>
    </row>
    <row r="91" spans="1:79" s="1" customFormat="1" x14ac:dyDescent="0.25">
      <c r="A91" s="184">
        <v>42341</v>
      </c>
      <c r="B91" s="82" t="s">
        <v>14</v>
      </c>
      <c r="C91" s="82" t="s">
        <v>999</v>
      </c>
      <c r="D91" s="114" t="s">
        <v>735</v>
      </c>
      <c r="E91" s="83" t="s">
        <v>987</v>
      </c>
      <c r="F91" s="185" t="s">
        <v>1000</v>
      </c>
      <c r="G91" s="82" t="s">
        <v>899</v>
      </c>
      <c r="H91" s="41" t="s">
        <v>1001</v>
      </c>
      <c r="I91" s="114"/>
      <c r="J91" s="114"/>
      <c r="K91" s="25"/>
      <c r="L91" s="26"/>
      <c r="M91" s="26"/>
      <c r="N91" s="26"/>
      <c r="O91" s="34"/>
      <c r="P91" s="34"/>
      <c r="Q91" s="34"/>
      <c r="R91" s="34"/>
      <c r="S91" s="34"/>
      <c r="T91" s="34"/>
      <c r="U91" s="25"/>
      <c r="V91" s="33"/>
      <c r="W91" s="25"/>
      <c r="X91" s="33"/>
      <c r="Y91" s="31"/>
      <c r="Z91" s="33"/>
      <c r="AA91" s="25"/>
      <c r="AB91" s="82" t="s">
        <v>1002</v>
      </c>
      <c r="AC91" s="114"/>
      <c r="AD91" s="41"/>
      <c r="AE91" s="114"/>
      <c r="AF91" s="114"/>
      <c r="AG91" s="114"/>
      <c r="AH91" s="114"/>
      <c r="AI91" s="114"/>
      <c r="AJ91" s="85"/>
      <c r="AK91" s="114"/>
      <c r="AL91" s="82"/>
      <c r="AM91" s="114"/>
      <c r="AN91" s="114"/>
      <c r="AO91" s="114"/>
      <c r="AP91" s="114"/>
      <c r="AQ91" s="82"/>
      <c r="AR91" s="194">
        <v>14.91</v>
      </c>
      <c r="AS91" s="49" t="s">
        <v>1003</v>
      </c>
      <c r="AT91" s="49" t="s">
        <v>1004</v>
      </c>
      <c r="AU91" s="123">
        <v>11.77</v>
      </c>
      <c r="AV91" s="123">
        <v>8.92</v>
      </c>
      <c r="AW91" s="123">
        <v>1.48</v>
      </c>
      <c r="AX91" s="36"/>
      <c r="AY91" s="36"/>
      <c r="AZ91" s="187"/>
      <c r="BA91" s="195">
        <f>10+0.018+0.018</f>
        <v>10.036000000000001</v>
      </c>
      <c r="BB91" s="195">
        <f>2.5+0.018+0.018</f>
        <v>2.5359999999999996</v>
      </c>
      <c r="BC91" s="195">
        <f>12.5+(4*0.018)</f>
        <v>12.571999999999999</v>
      </c>
      <c r="BD91" s="51">
        <f t="shared" si="23"/>
        <v>0.18516996140740738</v>
      </c>
      <c r="BE91" s="196">
        <f>0.22+0.688</f>
        <v>0.90799999999999992</v>
      </c>
      <c r="BF91" s="195">
        <v>15.75</v>
      </c>
      <c r="BG91" s="195">
        <v>13.25</v>
      </c>
      <c r="BH91" s="195">
        <v>11</v>
      </c>
      <c r="BI91" s="51">
        <f t="shared" si="26"/>
        <v>1.3284505208333333</v>
      </c>
      <c r="BJ91" s="190">
        <v>1.08</v>
      </c>
      <c r="BK91" s="190"/>
      <c r="BL91" s="190"/>
      <c r="BM91" s="24" t="s">
        <v>764</v>
      </c>
      <c r="BN91" s="24">
        <v>6</v>
      </c>
      <c r="BO91" s="24">
        <v>9</v>
      </c>
      <c r="BP91" s="24">
        <v>4</v>
      </c>
      <c r="BQ91" s="192">
        <f t="shared" si="22"/>
        <v>216</v>
      </c>
      <c r="BR91" s="27">
        <f t="shared" si="27"/>
        <v>293.95221874999999</v>
      </c>
      <c r="BS91" s="27" t="s">
        <v>769</v>
      </c>
      <c r="BT91" s="24" t="s">
        <v>766</v>
      </c>
      <c r="BU91" s="183"/>
      <c r="BV91" s="183"/>
      <c r="BW91" s="35"/>
    </row>
    <row r="92" spans="1:79" s="1" customFormat="1" x14ac:dyDescent="0.25">
      <c r="A92" s="184">
        <v>42341</v>
      </c>
      <c r="B92" s="85" t="s">
        <v>14</v>
      </c>
      <c r="C92" s="85" t="s">
        <v>1005</v>
      </c>
      <c r="D92" s="114" t="s">
        <v>735</v>
      </c>
      <c r="E92" s="120" t="s">
        <v>730</v>
      </c>
      <c r="F92" s="185" t="s">
        <v>1006</v>
      </c>
      <c r="G92" s="85" t="s">
        <v>1007</v>
      </c>
      <c r="H92" s="41" t="s">
        <v>1008</v>
      </c>
      <c r="I92" s="114"/>
      <c r="J92" s="114"/>
      <c r="K92" s="25"/>
      <c r="L92" s="26"/>
      <c r="M92" s="26"/>
      <c r="N92" s="26"/>
      <c r="O92" s="34"/>
      <c r="P92" s="34"/>
      <c r="Q92" s="34"/>
      <c r="R92" s="34"/>
      <c r="S92" s="34"/>
      <c r="T92" s="34"/>
      <c r="U92" s="25"/>
      <c r="V92" s="33"/>
      <c r="W92" s="25"/>
      <c r="X92" s="33"/>
      <c r="Y92" s="31"/>
      <c r="Z92" s="33"/>
      <c r="AA92" s="25"/>
      <c r="AB92" s="85"/>
      <c r="AC92" s="114"/>
      <c r="AD92" s="41"/>
      <c r="AE92" s="114"/>
      <c r="AF92" s="114"/>
      <c r="AG92" s="114"/>
      <c r="AH92" s="114"/>
      <c r="AI92" s="114"/>
      <c r="AJ92" s="85"/>
      <c r="AK92" s="114"/>
      <c r="AL92" s="85" t="s">
        <v>1009</v>
      </c>
      <c r="AM92" s="114"/>
      <c r="AN92" s="85" t="s">
        <v>1009</v>
      </c>
      <c r="AO92" s="114"/>
      <c r="AP92" s="114" t="s">
        <v>1010</v>
      </c>
      <c r="AQ92" s="85">
        <v>24053</v>
      </c>
      <c r="AR92" s="87">
        <v>15.95</v>
      </c>
      <c r="AS92" s="122" t="s">
        <v>1011</v>
      </c>
      <c r="AT92" s="122" t="s">
        <v>1012</v>
      </c>
      <c r="AU92" s="123">
        <v>7.6</v>
      </c>
      <c r="AV92" s="123">
        <v>7.4</v>
      </c>
      <c r="AW92" s="123">
        <v>1.18</v>
      </c>
      <c r="AX92" s="36"/>
      <c r="AY92" s="36"/>
      <c r="AZ92" s="88">
        <v>0.2</v>
      </c>
      <c r="BA92" s="158">
        <f>8.87+0.018+0.018</f>
        <v>8.9060000000000006</v>
      </c>
      <c r="BB92" s="84">
        <f>1.31+0.018+0.018</f>
        <v>1.3460000000000001</v>
      </c>
      <c r="BC92" s="84">
        <f>8.87+(0.018*4)</f>
        <v>8.9419999999999984</v>
      </c>
      <c r="BD92" s="111">
        <f t="shared" si="23"/>
        <v>6.2032413421296298E-2</v>
      </c>
      <c r="BE92" s="89">
        <v>0.12</v>
      </c>
      <c r="BF92" s="113">
        <v>10.5</v>
      </c>
      <c r="BG92" s="113">
        <v>8.75</v>
      </c>
      <c r="BH92" s="113">
        <v>9.75</v>
      </c>
      <c r="BI92" s="111">
        <f t="shared" si="26"/>
        <v>0.51839192708333337</v>
      </c>
      <c r="BJ92" s="159">
        <v>0.28000000000000003</v>
      </c>
      <c r="BK92" s="159"/>
      <c r="BL92" s="159"/>
      <c r="BM92" s="44" t="s">
        <v>764</v>
      </c>
      <c r="BN92" s="84">
        <v>6</v>
      </c>
      <c r="BO92" s="84">
        <v>18</v>
      </c>
      <c r="BP92" s="84">
        <v>4</v>
      </c>
      <c r="BQ92" s="27">
        <f t="shared" si="22"/>
        <v>432</v>
      </c>
      <c r="BR92" s="27">
        <f>((AZ92+BE92+BJ92)*BO92*BP92)+50</f>
        <v>93.2</v>
      </c>
      <c r="BS92" s="84" t="s">
        <v>769</v>
      </c>
      <c r="BT92" s="27" t="s">
        <v>766</v>
      </c>
      <c r="BU92" s="183"/>
      <c r="BV92" s="183"/>
      <c r="BW92" s="35"/>
    </row>
    <row r="93" spans="1:79" s="1" customFormat="1" x14ac:dyDescent="0.25">
      <c r="A93" s="184">
        <v>42341</v>
      </c>
      <c r="B93" s="82" t="s">
        <v>14</v>
      </c>
      <c r="C93" s="82" t="s">
        <v>1013</v>
      </c>
      <c r="D93" s="114" t="s">
        <v>735</v>
      </c>
      <c r="E93" s="83" t="s">
        <v>730</v>
      </c>
      <c r="F93" s="193" t="s">
        <v>1014</v>
      </c>
      <c r="G93" s="82" t="s">
        <v>720</v>
      </c>
      <c r="H93" s="96" t="s">
        <v>1015</v>
      </c>
      <c r="I93" s="114"/>
      <c r="J93" s="114"/>
      <c r="K93" s="25"/>
      <c r="L93" s="26"/>
      <c r="M93" s="26"/>
      <c r="N93" s="26"/>
      <c r="O93" s="34"/>
      <c r="P93" s="34"/>
      <c r="Q93" s="34"/>
      <c r="R93" s="34"/>
      <c r="S93" s="34"/>
      <c r="T93" s="34"/>
      <c r="U93" s="25"/>
      <c r="V93" s="33"/>
      <c r="W93" s="25"/>
      <c r="X93" s="33"/>
      <c r="Y93" s="31"/>
      <c r="Z93" s="33"/>
      <c r="AA93" s="25"/>
      <c r="AB93" s="82" t="s">
        <v>1016</v>
      </c>
      <c r="AC93" s="114"/>
      <c r="AD93" s="41"/>
      <c r="AE93" s="114"/>
      <c r="AF93" s="114"/>
      <c r="AG93" s="114"/>
      <c r="AH93" s="114"/>
      <c r="AI93" s="114"/>
      <c r="AJ93" s="85" t="s">
        <v>1017</v>
      </c>
      <c r="AK93" s="114"/>
      <c r="AL93" s="24" t="s">
        <v>1018</v>
      </c>
      <c r="AM93" s="114"/>
      <c r="AN93" s="114"/>
      <c r="AO93" s="114"/>
      <c r="AP93" s="114"/>
      <c r="AQ93" s="82">
        <v>24419</v>
      </c>
      <c r="AR93" s="194">
        <v>19.45</v>
      </c>
      <c r="AS93" s="49" t="s">
        <v>1019</v>
      </c>
      <c r="AT93" s="49" t="s">
        <v>1020</v>
      </c>
      <c r="AU93" s="123">
        <v>10.119999999999999</v>
      </c>
      <c r="AV93" s="123">
        <v>7.99</v>
      </c>
      <c r="AW93" s="123">
        <v>1.38</v>
      </c>
      <c r="AX93" s="36"/>
      <c r="AY93" s="36"/>
      <c r="AZ93" s="187"/>
      <c r="BA93" s="195">
        <f>10.75+0.018+0.018</f>
        <v>10.786000000000001</v>
      </c>
      <c r="BB93" s="195">
        <f>1.313+0.018+0.018</f>
        <v>1.349</v>
      </c>
      <c r="BC93" s="195">
        <f>11.906+(4*0.018)</f>
        <v>11.978</v>
      </c>
      <c r="BD93" s="51">
        <f t="shared" si="23"/>
        <v>0.10085860016898149</v>
      </c>
      <c r="BE93" s="190">
        <f>0.18+0.36</f>
        <v>0.54</v>
      </c>
      <c r="BF93" s="195">
        <v>13.25</v>
      </c>
      <c r="BG93" s="195">
        <v>11</v>
      </c>
      <c r="BH93" s="195">
        <v>9</v>
      </c>
      <c r="BI93" s="51">
        <f t="shared" si="26"/>
        <v>0.75911458333333337</v>
      </c>
      <c r="BJ93" s="190">
        <v>0.69</v>
      </c>
      <c r="BK93" s="190"/>
      <c r="BL93" s="190"/>
      <c r="BM93" s="24" t="s">
        <v>764</v>
      </c>
      <c r="BN93" s="24">
        <v>6</v>
      </c>
      <c r="BO93" s="24">
        <v>12</v>
      </c>
      <c r="BP93" s="24">
        <v>4</v>
      </c>
      <c r="BQ93" s="192">
        <f t="shared" si="22"/>
        <v>288</v>
      </c>
      <c r="BR93" s="27">
        <f t="shared" ref="BR93:BR97" si="28">((((AZ93+BE93)*BN93)+BI93)*BO93*BP93)+50</f>
        <v>241.95750000000001</v>
      </c>
      <c r="BS93" s="192" t="s">
        <v>769</v>
      </c>
      <c r="BT93" s="192" t="s">
        <v>766</v>
      </c>
      <c r="BU93" s="183"/>
      <c r="BV93" s="183"/>
      <c r="BW93" s="35"/>
      <c r="BX93" s="81"/>
    </row>
    <row r="94" spans="1:79" s="1" customFormat="1" x14ac:dyDescent="0.25">
      <c r="A94" s="184">
        <v>42341</v>
      </c>
      <c r="B94" s="82" t="s">
        <v>14</v>
      </c>
      <c r="C94" s="82" t="s">
        <v>1021</v>
      </c>
      <c r="D94" s="114" t="s">
        <v>735</v>
      </c>
      <c r="E94" s="83" t="s">
        <v>730</v>
      </c>
      <c r="F94" s="193" t="s">
        <v>1022</v>
      </c>
      <c r="G94" s="41" t="s">
        <v>1023</v>
      </c>
      <c r="H94" s="96" t="s">
        <v>1024</v>
      </c>
      <c r="I94" s="114"/>
      <c r="J94" s="114"/>
      <c r="K94" s="25"/>
      <c r="L94" s="26"/>
      <c r="M94" s="26"/>
      <c r="N94" s="26"/>
      <c r="O94" s="34"/>
      <c r="P94" s="34"/>
      <c r="Q94" s="34"/>
      <c r="R94" s="34"/>
      <c r="S94" s="34"/>
      <c r="T94" s="34"/>
      <c r="U94" s="197"/>
      <c r="V94" s="33"/>
      <c r="W94" s="25"/>
      <c r="X94" s="33"/>
      <c r="Y94" s="31"/>
      <c r="Z94" s="33"/>
      <c r="AA94" s="25"/>
      <c r="AB94" s="85"/>
      <c r="AC94" s="114"/>
      <c r="AD94" s="41"/>
      <c r="AE94" s="114"/>
      <c r="AF94" s="114"/>
      <c r="AG94" s="114"/>
      <c r="AH94" s="114"/>
      <c r="AI94" s="114"/>
      <c r="AJ94" s="114"/>
      <c r="AK94" s="114"/>
      <c r="AL94" s="31"/>
      <c r="AM94" s="114"/>
      <c r="AN94" s="114"/>
      <c r="AO94" s="114"/>
      <c r="AP94" s="114"/>
      <c r="AQ94" s="82">
        <v>24021</v>
      </c>
      <c r="AR94" s="194">
        <v>45.27</v>
      </c>
      <c r="AS94" s="49" t="s">
        <v>1025</v>
      </c>
      <c r="AT94" s="49" t="s">
        <v>1026</v>
      </c>
      <c r="AU94" s="123">
        <v>8.4600000000000009</v>
      </c>
      <c r="AV94" s="123">
        <v>8.4600000000000009</v>
      </c>
      <c r="AW94" s="123">
        <v>1.1599999999999999</v>
      </c>
      <c r="AX94" s="36"/>
      <c r="AY94" s="36"/>
      <c r="AZ94" s="187"/>
      <c r="BA94" s="195">
        <f>9.06+0.018+0.018</f>
        <v>9.0960000000000019</v>
      </c>
      <c r="BB94" s="195">
        <f>1.37+0.018+0.018</f>
        <v>1.4060000000000001</v>
      </c>
      <c r="BC94" s="195">
        <f>9.25+(4*0.018)</f>
        <v>9.3219999999999992</v>
      </c>
      <c r="BD94" s="51">
        <f t="shared" si="23"/>
        <v>6.8992380944444473E-2</v>
      </c>
      <c r="BE94" s="190">
        <f>0.12+0.32</f>
        <v>0.44</v>
      </c>
      <c r="BF94" s="195">
        <v>10.5</v>
      </c>
      <c r="BG94" s="195">
        <v>8.75</v>
      </c>
      <c r="BH94" s="195">
        <v>9.75</v>
      </c>
      <c r="BI94" s="51">
        <f t="shared" si="26"/>
        <v>0.51839192708333337</v>
      </c>
      <c r="BJ94" s="190">
        <v>0.28000000000000003</v>
      </c>
      <c r="BK94" s="190"/>
      <c r="BL94" s="190"/>
      <c r="BM94" s="24" t="s">
        <v>764</v>
      </c>
      <c r="BN94" s="24">
        <v>6</v>
      </c>
      <c r="BO94" s="24">
        <v>18</v>
      </c>
      <c r="BP94" s="24">
        <v>4</v>
      </c>
      <c r="BQ94" s="192">
        <f t="shared" si="22"/>
        <v>432</v>
      </c>
      <c r="BR94" s="27">
        <f t="shared" si="28"/>
        <v>277.40421875000004</v>
      </c>
      <c r="BS94" s="27" t="s">
        <v>769</v>
      </c>
      <c r="BT94" s="24" t="s">
        <v>770</v>
      </c>
      <c r="BU94" s="183"/>
      <c r="BV94" s="183"/>
      <c r="BW94" s="35"/>
    </row>
    <row r="95" spans="1:79" s="1" customFormat="1" x14ac:dyDescent="0.25">
      <c r="A95" s="184">
        <v>42341</v>
      </c>
      <c r="B95" s="82" t="s">
        <v>14</v>
      </c>
      <c r="C95" s="82" t="s">
        <v>1027</v>
      </c>
      <c r="D95" s="114" t="s">
        <v>735</v>
      </c>
      <c r="E95" s="83" t="s">
        <v>730</v>
      </c>
      <c r="F95" s="198" t="s">
        <v>1028</v>
      </c>
      <c r="G95" s="82" t="s">
        <v>1029</v>
      </c>
      <c r="H95" s="102" t="s">
        <v>1030</v>
      </c>
      <c r="I95" s="114"/>
      <c r="J95" s="114"/>
      <c r="K95" s="25"/>
      <c r="L95" s="26"/>
      <c r="M95" s="26"/>
      <c r="N95" s="26"/>
      <c r="O95" s="34"/>
      <c r="P95" s="34"/>
      <c r="Q95" s="34"/>
      <c r="R95" s="34"/>
      <c r="S95" s="34"/>
      <c r="T95" s="34"/>
      <c r="U95" s="25"/>
      <c r="V95" s="33"/>
      <c r="W95" s="25"/>
      <c r="X95" s="33"/>
      <c r="Y95" s="31"/>
      <c r="Z95" s="33"/>
      <c r="AA95" s="25"/>
      <c r="AB95" s="85"/>
      <c r="AC95" s="114"/>
      <c r="AD95" s="41"/>
      <c r="AE95" s="114"/>
      <c r="AF95" s="114"/>
      <c r="AG95" s="114"/>
      <c r="AH95" s="114"/>
      <c r="AI95" s="114"/>
      <c r="AJ95" s="114"/>
      <c r="AK95" s="114"/>
      <c r="AL95" s="31"/>
      <c r="AM95" s="114"/>
      <c r="AN95" s="114"/>
      <c r="AO95" s="114"/>
      <c r="AP95" s="114"/>
      <c r="AQ95" s="82" t="s">
        <v>1031</v>
      </c>
      <c r="AR95" s="194">
        <v>41.96</v>
      </c>
      <c r="AS95" s="49" t="s">
        <v>1032</v>
      </c>
      <c r="AT95" s="49" t="s">
        <v>1033</v>
      </c>
      <c r="AU95" s="123">
        <v>10.75</v>
      </c>
      <c r="AV95" s="123">
        <v>7.76</v>
      </c>
      <c r="AW95" s="123">
        <v>0.4</v>
      </c>
      <c r="AX95" s="36"/>
      <c r="AY95" s="36"/>
      <c r="AZ95" s="187"/>
      <c r="BA95" s="195">
        <f>8.281+0.018+0.018</f>
        <v>8.3170000000000019</v>
      </c>
      <c r="BB95" s="195">
        <f>1.375+0.018+0.018</f>
        <v>1.411</v>
      </c>
      <c r="BC95" s="195">
        <f>11.25+(4*0.018)</f>
        <v>11.321999999999999</v>
      </c>
      <c r="BD95" s="51">
        <f t="shared" si="23"/>
        <v>7.6890578364583351E-2</v>
      </c>
      <c r="BE95" s="190">
        <f>0.12+0.27</f>
        <v>0.39</v>
      </c>
      <c r="BF95" s="195">
        <f>11.62+0.25</f>
        <v>11.87</v>
      </c>
      <c r="BG95" s="195">
        <v>9</v>
      </c>
      <c r="BH95" s="195">
        <v>9</v>
      </c>
      <c r="BI95" s="51">
        <f t="shared" si="26"/>
        <v>0.55640624999999999</v>
      </c>
      <c r="BJ95" s="190">
        <v>0.53</v>
      </c>
      <c r="BK95" s="190"/>
      <c r="BL95" s="190"/>
      <c r="BM95" s="24" t="s">
        <v>764</v>
      </c>
      <c r="BN95" s="24">
        <v>6</v>
      </c>
      <c r="BO95" s="24">
        <v>17</v>
      </c>
      <c r="BP95" s="24">
        <v>5</v>
      </c>
      <c r="BQ95" s="192">
        <f t="shared" si="22"/>
        <v>510</v>
      </c>
      <c r="BR95" s="27">
        <f t="shared" si="28"/>
        <v>296.19453125000001</v>
      </c>
      <c r="BS95" s="27" t="s">
        <v>769</v>
      </c>
      <c r="BT95" s="24" t="s">
        <v>770</v>
      </c>
      <c r="BU95" s="35"/>
      <c r="BV95" s="35"/>
      <c r="BW95" s="35"/>
    </row>
    <row r="96" spans="1:79" s="1" customFormat="1" ht="30" x14ac:dyDescent="0.25">
      <c r="A96" s="184">
        <v>42341</v>
      </c>
      <c r="B96" s="82" t="s">
        <v>14</v>
      </c>
      <c r="C96" s="82" t="s">
        <v>1034</v>
      </c>
      <c r="D96" s="114" t="s">
        <v>735</v>
      </c>
      <c r="E96" s="83" t="s">
        <v>730</v>
      </c>
      <c r="F96" s="185" t="s">
        <v>1035</v>
      </c>
      <c r="G96" s="82" t="s">
        <v>1036</v>
      </c>
      <c r="H96" s="50" t="s">
        <v>1037</v>
      </c>
      <c r="I96" s="114"/>
      <c r="J96" s="114"/>
      <c r="K96" s="25"/>
      <c r="L96" s="26"/>
      <c r="M96" s="26"/>
      <c r="N96" s="26"/>
      <c r="O96" s="34"/>
      <c r="P96" s="34"/>
      <c r="Q96" s="34"/>
      <c r="R96" s="34"/>
      <c r="S96" s="34"/>
      <c r="T96" s="34"/>
      <c r="U96" s="25"/>
      <c r="V96" s="33"/>
      <c r="W96" s="25"/>
      <c r="X96" s="33"/>
      <c r="Y96" s="31"/>
      <c r="Z96" s="33"/>
      <c r="AA96" s="25"/>
      <c r="AB96" s="85"/>
      <c r="AC96" s="114"/>
      <c r="AD96" s="41"/>
      <c r="AE96" s="114"/>
      <c r="AF96" s="114"/>
      <c r="AG96" s="114"/>
      <c r="AH96" s="114"/>
      <c r="AI96" s="114"/>
      <c r="AJ96" s="114"/>
      <c r="AK96" s="114"/>
      <c r="AL96" s="31"/>
      <c r="AM96" s="114"/>
      <c r="AN96" s="114"/>
      <c r="AO96" s="114"/>
      <c r="AP96" s="114"/>
      <c r="AQ96" s="82">
        <v>24439</v>
      </c>
      <c r="AR96" s="194">
        <v>39.36</v>
      </c>
      <c r="AS96" s="49" t="s">
        <v>1038</v>
      </c>
      <c r="AT96" s="49" t="s">
        <v>1039</v>
      </c>
      <c r="AU96" s="123">
        <v>9.9600000000000009</v>
      </c>
      <c r="AV96" s="123">
        <v>10.08</v>
      </c>
      <c r="AW96" s="123">
        <v>1.38</v>
      </c>
      <c r="AX96" s="36"/>
      <c r="AY96" s="36"/>
      <c r="AZ96" s="187"/>
      <c r="BA96" s="195">
        <f>10.031+0.018+0.018</f>
        <v>10.067000000000002</v>
      </c>
      <c r="BB96" s="195">
        <f>1.61+0.018+0.018</f>
        <v>1.6460000000000001</v>
      </c>
      <c r="BC96" s="195">
        <f>10.625+(4*0.018)</f>
        <v>10.696999999999999</v>
      </c>
      <c r="BD96" s="51">
        <f t="shared" si="23"/>
        <v>0.10257656629282409</v>
      </c>
      <c r="BE96" s="190">
        <f>0.15+0.23</f>
        <v>0.38</v>
      </c>
      <c r="BF96" s="195">
        <v>12</v>
      </c>
      <c r="BG96" s="195">
        <v>10.37</v>
      </c>
      <c r="BH96" s="195">
        <v>10.62</v>
      </c>
      <c r="BI96" s="51">
        <f t="shared" si="26"/>
        <v>0.76478749999999995</v>
      </c>
      <c r="BJ96" s="190">
        <v>0.66</v>
      </c>
      <c r="BK96" s="190"/>
      <c r="BL96" s="190"/>
      <c r="BM96" s="24" t="s">
        <v>764</v>
      </c>
      <c r="BN96" s="24">
        <v>6</v>
      </c>
      <c r="BO96" s="24">
        <v>12</v>
      </c>
      <c r="BP96" s="24">
        <v>4</v>
      </c>
      <c r="BQ96" s="192">
        <f t="shared" si="22"/>
        <v>288</v>
      </c>
      <c r="BR96" s="27">
        <f t="shared" si="28"/>
        <v>196.1498</v>
      </c>
      <c r="BS96" s="27" t="s">
        <v>769</v>
      </c>
      <c r="BT96" s="24" t="s">
        <v>770</v>
      </c>
      <c r="BU96" s="35"/>
      <c r="BV96" s="35"/>
      <c r="BW96" s="35"/>
    </row>
    <row r="97" spans="1:79" s="1" customFormat="1" x14ac:dyDescent="0.25">
      <c r="A97" s="184">
        <v>42341</v>
      </c>
      <c r="B97" s="82" t="s">
        <v>14</v>
      </c>
      <c r="C97" s="82" t="s">
        <v>1040</v>
      </c>
      <c r="D97" s="114" t="s">
        <v>735</v>
      </c>
      <c r="E97" s="83" t="s">
        <v>730</v>
      </c>
      <c r="F97" s="199" t="s">
        <v>1041</v>
      </c>
      <c r="G97" s="82" t="s">
        <v>1042</v>
      </c>
      <c r="H97" s="81" t="s">
        <v>1043</v>
      </c>
      <c r="I97" s="114"/>
      <c r="J97" s="114"/>
      <c r="K97" s="25"/>
      <c r="L97" s="26"/>
      <c r="M97" s="26"/>
      <c r="N97" s="26"/>
      <c r="O97" s="34"/>
      <c r="P97" s="34"/>
      <c r="Q97" s="34"/>
      <c r="R97" s="34"/>
      <c r="S97" s="34"/>
      <c r="T97" s="34"/>
      <c r="U97" s="25"/>
      <c r="V97" s="33"/>
      <c r="W97" s="25"/>
      <c r="X97" s="33"/>
      <c r="Y97" s="31"/>
      <c r="Z97" s="33"/>
      <c r="AA97" s="25"/>
      <c r="AB97" s="85"/>
      <c r="AC97" s="114"/>
      <c r="AD97" s="41"/>
      <c r="AE97" s="114"/>
      <c r="AF97" s="114"/>
      <c r="AG97" s="114"/>
      <c r="AH97" s="114"/>
      <c r="AI97" s="114"/>
      <c r="AJ97" s="114"/>
      <c r="AK97" s="114"/>
      <c r="AL97" s="31"/>
      <c r="AM97" s="114"/>
      <c r="AN97" s="114"/>
      <c r="AO97" s="114"/>
      <c r="AP97" s="114"/>
      <c r="AQ97" s="25"/>
      <c r="AR97" s="194">
        <v>43.87</v>
      </c>
      <c r="AS97" s="49" t="s">
        <v>1044</v>
      </c>
      <c r="AT97" s="49" t="s">
        <v>1045</v>
      </c>
      <c r="AU97" s="123">
        <v>9.67</v>
      </c>
      <c r="AV97" s="123">
        <v>8.5</v>
      </c>
      <c r="AW97" s="123">
        <v>0.8</v>
      </c>
      <c r="AX97" s="36"/>
      <c r="AY97" s="36"/>
      <c r="AZ97" s="187"/>
      <c r="BA97" s="195">
        <f>8.93+0.018+0.018</f>
        <v>8.9660000000000011</v>
      </c>
      <c r="BB97" s="195">
        <f>1.31+0.018+0.018</f>
        <v>1.3460000000000001</v>
      </c>
      <c r="BC97" s="195">
        <f>9.75+(4*0.018)</f>
        <v>9.8219999999999992</v>
      </c>
      <c r="BD97" s="51">
        <f t="shared" si="23"/>
        <v>6.8596188652777779E-2</v>
      </c>
      <c r="BE97" s="190">
        <f>0.12+0.47</f>
        <v>0.59</v>
      </c>
      <c r="BF97" s="195">
        <v>10.5</v>
      </c>
      <c r="BG97" s="195">
        <v>8.75</v>
      </c>
      <c r="BH97" s="195">
        <v>9.75</v>
      </c>
      <c r="BI97" s="51">
        <f t="shared" si="26"/>
        <v>0.51839192708333337</v>
      </c>
      <c r="BJ97" s="190">
        <v>0.28000000000000003</v>
      </c>
      <c r="BK97" s="190"/>
      <c r="BL97" s="190"/>
      <c r="BM97" s="24" t="s">
        <v>764</v>
      </c>
      <c r="BN97" s="24">
        <v>6</v>
      </c>
      <c r="BO97" s="24">
        <v>18</v>
      </c>
      <c r="BP97" s="24">
        <v>4</v>
      </c>
      <c r="BQ97" s="192">
        <f t="shared" si="22"/>
        <v>432</v>
      </c>
      <c r="BR97" s="27">
        <f t="shared" si="28"/>
        <v>342.20421875</v>
      </c>
      <c r="BS97" s="27" t="s">
        <v>769</v>
      </c>
      <c r="BT97" s="24" t="s">
        <v>770</v>
      </c>
      <c r="BU97" s="35"/>
      <c r="BV97" s="35"/>
      <c r="BW97" s="35"/>
    </row>
    <row r="98" spans="1:79" s="1" customFormat="1" x14ac:dyDescent="0.25">
      <c r="A98" s="184">
        <v>42341</v>
      </c>
      <c r="B98" s="82" t="s">
        <v>14</v>
      </c>
      <c r="C98" s="82" t="s">
        <v>1046</v>
      </c>
      <c r="D98" s="114" t="s">
        <v>735</v>
      </c>
      <c r="E98" s="83" t="s">
        <v>730</v>
      </c>
      <c r="F98" s="200" t="s">
        <v>1047</v>
      </c>
      <c r="G98" s="82" t="s">
        <v>1048</v>
      </c>
      <c r="H98" s="201" t="s">
        <v>1049</v>
      </c>
      <c r="I98" s="114"/>
      <c r="J98" s="114"/>
      <c r="K98" s="25"/>
      <c r="L98" s="26"/>
      <c r="M98" s="26"/>
      <c r="N98" s="26"/>
      <c r="O98" s="34"/>
      <c r="P98" s="34"/>
      <c r="Q98" s="34"/>
      <c r="R98" s="34"/>
      <c r="S98" s="34"/>
      <c r="T98" s="34"/>
      <c r="U98" s="25"/>
      <c r="V98" s="33"/>
      <c r="W98" s="25"/>
      <c r="X98" s="33"/>
      <c r="Y98" s="31"/>
      <c r="Z98" s="33"/>
      <c r="AA98" s="25"/>
      <c r="AB98" s="85"/>
      <c r="AC98" s="114"/>
      <c r="AD98" s="85"/>
      <c r="AE98" s="114"/>
      <c r="AF98" s="114"/>
      <c r="AG98" s="114"/>
      <c r="AH98" s="85"/>
      <c r="AI98" s="114"/>
      <c r="AJ98" s="114"/>
      <c r="AK98" s="114"/>
      <c r="AL98" s="31"/>
      <c r="AM98" s="114"/>
      <c r="AN98" s="114"/>
      <c r="AO98" s="114"/>
      <c r="AP98" s="114"/>
      <c r="AQ98" s="25"/>
      <c r="AR98" s="194">
        <v>18.940000000000001</v>
      </c>
      <c r="AS98" s="49" t="s">
        <v>1050</v>
      </c>
      <c r="AT98" s="49" t="s">
        <v>1051</v>
      </c>
      <c r="AU98" s="123">
        <v>9.5299999999999994</v>
      </c>
      <c r="AV98" s="123">
        <v>8.74</v>
      </c>
      <c r="AW98" s="123">
        <v>2.91</v>
      </c>
      <c r="AX98" s="36"/>
      <c r="AY98" s="36"/>
      <c r="AZ98" s="187"/>
      <c r="BA98" s="155">
        <v>10.346</v>
      </c>
      <c r="BB98" s="155">
        <v>2.9660000000000002</v>
      </c>
      <c r="BC98" s="155">
        <v>10.382</v>
      </c>
      <c r="BD98" s="111">
        <v>0.18436603133796298</v>
      </c>
      <c r="BE98" s="202">
        <v>0.26</v>
      </c>
      <c r="BF98" s="155">
        <v>18.62</v>
      </c>
      <c r="BG98" s="155">
        <v>10.75</v>
      </c>
      <c r="BH98" s="155">
        <v>11</v>
      </c>
      <c r="BI98" s="111">
        <v>1.2741984953703704</v>
      </c>
      <c r="BJ98" s="202">
        <v>0.91</v>
      </c>
      <c r="BK98" s="202"/>
      <c r="BL98" s="202"/>
      <c r="BM98" s="84" t="s">
        <v>764</v>
      </c>
      <c r="BN98" s="84">
        <v>6</v>
      </c>
      <c r="BO98" s="84">
        <v>8</v>
      </c>
      <c r="BP98" s="84">
        <v>4</v>
      </c>
      <c r="BQ98" s="27">
        <v>192</v>
      </c>
      <c r="BR98" s="27">
        <v>190.61435185185186</v>
      </c>
      <c r="BS98" s="27" t="s">
        <v>769</v>
      </c>
      <c r="BT98" s="24" t="s">
        <v>770</v>
      </c>
      <c r="BU98" s="183"/>
      <c r="BV98" s="35"/>
      <c r="BW98" s="35"/>
    </row>
    <row r="99" spans="1:79" s="1" customFormat="1" x14ac:dyDescent="0.25">
      <c r="A99" s="184">
        <v>42341</v>
      </c>
      <c r="B99" s="82" t="s">
        <v>14</v>
      </c>
      <c r="C99" s="82" t="s">
        <v>1052</v>
      </c>
      <c r="D99" s="114" t="s">
        <v>735</v>
      </c>
      <c r="E99" s="83" t="s">
        <v>940</v>
      </c>
      <c r="F99" s="193" t="s">
        <v>1053</v>
      </c>
      <c r="G99" s="82" t="s">
        <v>995</v>
      </c>
      <c r="H99" s="31">
        <v>1131840225</v>
      </c>
      <c r="I99" s="114"/>
      <c r="J99" s="114"/>
      <c r="K99" s="25"/>
      <c r="L99" s="26"/>
      <c r="M99" s="26"/>
      <c r="N99" s="26"/>
      <c r="O99" s="34"/>
      <c r="P99" s="34"/>
      <c r="Q99" s="34"/>
      <c r="R99" s="34"/>
      <c r="S99" s="34"/>
      <c r="T99" s="34"/>
      <c r="U99" s="25"/>
      <c r="V99" s="33"/>
      <c r="W99" s="25"/>
      <c r="X99" s="33"/>
      <c r="Y99" s="31"/>
      <c r="Z99" s="33"/>
      <c r="AA99" s="25"/>
      <c r="AB99" s="85"/>
      <c r="AC99" s="114"/>
      <c r="AD99" s="85"/>
      <c r="AE99" s="114"/>
      <c r="AF99" s="114"/>
      <c r="AG99" s="114"/>
      <c r="AH99" s="82" t="s">
        <v>1054</v>
      </c>
      <c r="AI99" s="114"/>
      <c r="AJ99" s="114"/>
      <c r="AK99" s="114"/>
      <c r="AL99" s="31"/>
      <c r="AM99" s="114"/>
      <c r="AN99" s="114"/>
      <c r="AO99" s="114"/>
      <c r="AP99" s="114"/>
      <c r="AQ99" s="25"/>
      <c r="AR99" s="194">
        <v>16.93</v>
      </c>
      <c r="AS99" s="49" t="s">
        <v>1055</v>
      </c>
      <c r="AT99" s="49" t="s">
        <v>1056</v>
      </c>
      <c r="AU99" s="36"/>
      <c r="AV99" s="36"/>
      <c r="AW99" s="36"/>
      <c r="AX99" s="172">
        <v>2.5590000000000002</v>
      </c>
      <c r="AY99" s="172">
        <v>4.0549999999999997</v>
      </c>
      <c r="AZ99" s="203"/>
      <c r="BA99" s="195">
        <f>2.755+0.018+0.018</f>
        <v>2.7909999999999995</v>
      </c>
      <c r="BB99" s="195">
        <f>2.755+0.018+0.018</f>
        <v>2.7909999999999995</v>
      </c>
      <c r="BC99" s="195">
        <f>4.842+(4*0.018)</f>
        <v>4.9139999999999997</v>
      </c>
      <c r="BD99" s="51">
        <f t="shared" si="23"/>
        <v>2.2151905343749986E-2</v>
      </c>
      <c r="BE99" s="196">
        <f>0.1+0.25</f>
        <v>0.35</v>
      </c>
      <c r="BF99" s="195">
        <f>11.42+0.25</f>
        <v>11.67</v>
      </c>
      <c r="BG99" s="195">
        <f>8.66+0.25</f>
        <v>8.91</v>
      </c>
      <c r="BH99" s="195">
        <v>5.93</v>
      </c>
      <c r="BI99" s="51">
        <f t="shared" si="26"/>
        <v>0.35682848437499998</v>
      </c>
      <c r="BJ99" s="24">
        <v>0.25</v>
      </c>
      <c r="BK99" s="24"/>
      <c r="BL99" s="24"/>
      <c r="BM99" s="24" t="s">
        <v>764</v>
      </c>
      <c r="BN99" s="24">
        <v>12</v>
      </c>
      <c r="BO99" s="24">
        <v>17</v>
      </c>
      <c r="BP99" s="24">
        <v>7</v>
      </c>
      <c r="BQ99" s="192">
        <f t="shared" si="22"/>
        <v>1428</v>
      </c>
      <c r="BR99" s="27">
        <f>((((AZ99+BE99)*BN99)+BI99)*BO99*BP99)+50</f>
        <v>592.26258964062492</v>
      </c>
      <c r="BS99" s="27" t="s">
        <v>951</v>
      </c>
      <c r="BT99" s="107" t="s">
        <v>780</v>
      </c>
      <c r="BU99" s="183"/>
      <c r="BV99" s="183"/>
      <c r="BW99" s="81"/>
    </row>
    <row r="100" spans="1:79" s="1" customFormat="1" x14ac:dyDescent="0.25">
      <c r="A100" s="184">
        <v>42341</v>
      </c>
      <c r="B100" s="82" t="s">
        <v>14</v>
      </c>
      <c r="C100" s="82" t="s">
        <v>993</v>
      </c>
      <c r="D100" s="114" t="s">
        <v>735</v>
      </c>
      <c r="E100" s="83" t="s">
        <v>940</v>
      </c>
      <c r="F100" s="193" t="s">
        <v>994</v>
      </c>
      <c r="G100" s="82" t="s">
        <v>995</v>
      </c>
      <c r="H100" s="31">
        <v>2761800009</v>
      </c>
      <c r="I100" s="114"/>
      <c r="J100" s="114"/>
      <c r="K100" s="25"/>
      <c r="L100" s="26"/>
      <c r="M100" s="26"/>
      <c r="N100" s="26"/>
      <c r="O100" s="34"/>
      <c r="P100" s="34"/>
      <c r="Q100" s="34"/>
      <c r="R100" s="34"/>
      <c r="S100" s="34"/>
      <c r="T100" s="34"/>
      <c r="U100" s="25"/>
      <c r="V100" s="33"/>
      <c r="W100" s="25"/>
      <c r="X100" s="33"/>
      <c r="Y100" s="31"/>
      <c r="Z100" s="33"/>
      <c r="AA100" s="25"/>
      <c r="AB100" s="82"/>
      <c r="AC100" s="114"/>
      <c r="AD100" s="41"/>
      <c r="AE100" s="114"/>
      <c r="AF100" s="114"/>
      <c r="AG100" s="114"/>
      <c r="AH100" s="114"/>
      <c r="AI100" s="114"/>
      <c r="AJ100" s="114"/>
      <c r="AK100" s="114"/>
      <c r="AL100" s="31"/>
      <c r="AM100" s="114"/>
      <c r="AN100" s="114"/>
      <c r="AO100" s="114"/>
      <c r="AP100" s="114"/>
      <c r="AQ100" s="25"/>
      <c r="AR100" s="194">
        <v>29.88</v>
      </c>
      <c r="AS100" s="49" t="s">
        <v>1057</v>
      </c>
      <c r="AT100" s="49" t="s">
        <v>1058</v>
      </c>
      <c r="AU100" s="36"/>
      <c r="AV100" s="36"/>
      <c r="AW100" s="36"/>
      <c r="AX100" s="112">
        <v>2.56</v>
      </c>
      <c r="AY100" s="112">
        <v>6.59</v>
      </c>
      <c r="AZ100" s="203"/>
      <c r="BA100" s="204">
        <f>2.87+0.018+0.018</f>
        <v>2.9059999999999997</v>
      </c>
      <c r="BB100" s="205">
        <f>2.87+0.018+0.018</f>
        <v>2.9059999999999997</v>
      </c>
      <c r="BC100" s="205">
        <f>6.62+(4*0.018)</f>
        <v>6.6920000000000002</v>
      </c>
      <c r="BD100" s="206">
        <f t="shared" si="23"/>
        <v>3.2704191268518513E-2</v>
      </c>
      <c r="BE100" s="207">
        <f>0.08+0.5</f>
        <v>0.57999999999999996</v>
      </c>
      <c r="BF100" s="195">
        <v>13.5</v>
      </c>
      <c r="BG100" s="195">
        <v>9.25</v>
      </c>
      <c r="BH100" s="195">
        <v>7.25</v>
      </c>
      <c r="BI100" s="51">
        <f t="shared" si="26"/>
        <v>0.52392578125</v>
      </c>
      <c r="BJ100" s="190">
        <v>0.56999999999999995</v>
      </c>
      <c r="BK100" s="190"/>
      <c r="BL100" s="190"/>
      <c r="BM100" s="24" t="s">
        <v>764</v>
      </c>
      <c r="BN100" s="24">
        <v>12</v>
      </c>
      <c r="BO100" s="24">
        <v>13</v>
      </c>
      <c r="BP100" s="24">
        <v>6</v>
      </c>
      <c r="BQ100" s="192">
        <f t="shared" si="22"/>
        <v>936</v>
      </c>
      <c r="BR100" s="27">
        <f>((((AZ100+BE100)*BN100)+BI100)*BO100*BP100)+50</f>
        <v>633.74621093749988</v>
      </c>
      <c r="BS100" s="27" t="s">
        <v>996</v>
      </c>
      <c r="BT100" s="107" t="s">
        <v>780</v>
      </c>
      <c r="BU100" s="35"/>
      <c r="BV100" s="35"/>
      <c r="BW100" s="35"/>
    </row>
    <row r="101" spans="1:79" s="1" customFormat="1" ht="30" x14ac:dyDescent="0.25">
      <c r="A101" s="184">
        <v>42341</v>
      </c>
      <c r="B101" s="85" t="s">
        <v>14</v>
      </c>
      <c r="C101" s="85" t="s">
        <v>1059</v>
      </c>
      <c r="D101" s="114" t="s">
        <v>60</v>
      </c>
      <c r="E101" s="120" t="s">
        <v>65</v>
      </c>
      <c r="F101" s="193" t="s">
        <v>1060</v>
      </c>
      <c r="G101" s="85" t="s">
        <v>737</v>
      </c>
      <c r="H101" s="31">
        <v>19256348</v>
      </c>
      <c r="I101" s="114"/>
      <c r="J101" s="114"/>
      <c r="K101" s="25"/>
      <c r="L101" s="26"/>
      <c r="M101" s="26"/>
      <c r="N101" s="26"/>
      <c r="O101" s="34"/>
      <c r="P101" s="34"/>
      <c r="Q101" s="34"/>
      <c r="R101" s="34"/>
      <c r="S101" s="34"/>
      <c r="T101" s="34"/>
      <c r="U101" s="25" t="s">
        <v>1061</v>
      </c>
      <c r="V101" s="33"/>
      <c r="W101" s="25"/>
      <c r="X101" s="33"/>
      <c r="Y101" s="31"/>
      <c r="Z101" s="33"/>
      <c r="AA101" s="25"/>
      <c r="AB101" s="85" t="s">
        <v>1062</v>
      </c>
      <c r="AC101" s="114"/>
      <c r="AD101" s="41"/>
      <c r="AE101" s="114"/>
      <c r="AF101" s="114"/>
      <c r="AG101" s="114"/>
      <c r="AH101" s="114"/>
      <c r="AI101" s="114"/>
      <c r="AJ101" s="114"/>
      <c r="AK101" s="114"/>
      <c r="AL101" s="31" t="s">
        <v>1063</v>
      </c>
      <c r="AM101" s="114"/>
      <c r="AN101" s="114" t="s">
        <v>1064</v>
      </c>
      <c r="AO101" s="114"/>
      <c r="AP101" s="114" t="s">
        <v>1064</v>
      </c>
      <c r="AQ101" s="25">
        <v>33837</v>
      </c>
      <c r="AR101" s="87">
        <v>173.32</v>
      </c>
      <c r="AS101" s="49" t="s">
        <v>1065</v>
      </c>
      <c r="AT101" s="49" t="s">
        <v>1066</v>
      </c>
      <c r="AU101" s="36"/>
      <c r="AV101" s="36"/>
      <c r="AW101" s="36"/>
      <c r="AX101" s="172">
        <v>4.0199999999999996</v>
      </c>
      <c r="AY101" s="172">
        <v>6.44</v>
      </c>
      <c r="AZ101" s="88">
        <v>1.28</v>
      </c>
      <c r="BA101" s="84">
        <f>4.43+0.018+0.018</f>
        <v>4.4659999999999993</v>
      </c>
      <c r="BB101" s="84">
        <f>4.43+0.018+0.018</f>
        <v>4.4659999999999993</v>
      </c>
      <c r="BC101" s="84">
        <f>10.37+0.018+0.018+0.018+0.018</f>
        <v>10.442000000000002</v>
      </c>
      <c r="BD101" s="111">
        <f t="shared" si="23"/>
        <v>0.12052506883796293</v>
      </c>
      <c r="BE101" s="89">
        <v>0.27</v>
      </c>
      <c r="BF101" s="113">
        <v>14.5</v>
      </c>
      <c r="BG101" s="113">
        <f>9.37+0.25</f>
        <v>9.6199999999999992</v>
      </c>
      <c r="BH101" s="113">
        <v>11.56</v>
      </c>
      <c r="BI101" s="111">
        <f t="shared" si="26"/>
        <v>0.93316226851851858</v>
      </c>
      <c r="BJ101" s="159">
        <v>1.24</v>
      </c>
      <c r="BK101" s="159"/>
      <c r="BL101" s="159"/>
      <c r="BM101" s="44" t="s">
        <v>764</v>
      </c>
      <c r="BN101" s="84">
        <v>6</v>
      </c>
      <c r="BO101" s="84">
        <v>12</v>
      </c>
      <c r="BP101" s="84">
        <v>3</v>
      </c>
      <c r="BQ101" s="27">
        <f t="shared" si="22"/>
        <v>216</v>
      </c>
      <c r="BR101" s="27">
        <f>((AZ101+BE101+BJ101)*BO101*BP101)+50</f>
        <v>150.44</v>
      </c>
      <c r="BS101" s="84" t="s">
        <v>886</v>
      </c>
      <c r="BT101" s="27" t="s">
        <v>766</v>
      </c>
      <c r="BU101" s="27" t="s">
        <v>766</v>
      </c>
      <c r="BV101" s="35"/>
      <c r="BW101" s="35"/>
    </row>
    <row r="102" spans="1:79" s="1" customFormat="1" ht="60" customHeight="1" x14ac:dyDescent="0.25">
      <c r="A102" s="184">
        <v>42264</v>
      </c>
      <c r="B102" s="114" t="s">
        <v>14</v>
      </c>
      <c r="C102" s="31" t="s">
        <v>1067</v>
      </c>
      <c r="D102" s="114" t="s">
        <v>735</v>
      </c>
      <c r="E102" s="208" t="s">
        <v>1068</v>
      </c>
      <c r="F102" s="114" t="s">
        <v>1069</v>
      </c>
      <c r="G102" s="170" t="s">
        <v>798</v>
      </c>
      <c r="H102" s="114" t="s">
        <v>1070</v>
      </c>
      <c r="I102" s="114"/>
      <c r="J102" s="114"/>
      <c r="K102" s="25"/>
      <c r="L102" s="26"/>
      <c r="M102" s="26"/>
      <c r="N102" s="26"/>
      <c r="O102" s="34"/>
      <c r="P102" s="34"/>
      <c r="Q102" s="34"/>
      <c r="R102" s="34"/>
      <c r="S102" s="34"/>
      <c r="T102" s="34"/>
      <c r="U102" s="25"/>
      <c r="V102" s="33"/>
      <c r="W102" s="25"/>
      <c r="X102" s="33"/>
      <c r="Y102" s="31"/>
      <c r="Z102" s="33"/>
      <c r="AA102" s="25"/>
      <c r="AB102" s="41" t="s">
        <v>1071</v>
      </c>
      <c r="AC102" s="114"/>
      <c r="AD102" s="41"/>
      <c r="AE102" s="114" t="s">
        <v>1072</v>
      </c>
      <c r="AF102" s="114"/>
      <c r="AG102" s="114"/>
      <c r="AH102" s="114"/>
      <c r="AI102" s="114"/>
      <c r="AJ102" s="114"/>
      <c r="AK102" s="114"/>
      <c r="AL102" s="31"/>
      <c r="AM102" s="114" t="s">
        <v>1073</v>
      </c>
      <c r="AN102" s="114" t="s">
        <v>1074</v>
      </c>
      <c r="AO102" s="114"/>
      <c r="AP102" s="114" t="s">
        <v>1074</v>
      </c>
      <c r="AQ102" s="25"/>
      <c r="AR102" s="209">
        <v>69.95</v>
      </c>
      <c r="AS102" s="210" t="s">
        <v>1075</v>
      </c>
      <c r="AT102" s="211">
        <v>10038568742459</v>
      </c>
      <c r="AU102" s="203">
        <v>12.42</v>
      </c>
      <c r="AV102" s="203">
        <v>13.27</v>
      </c>
      <c r="AW102" s="203">
        <v>1.34</v>
      </c>
      <c r="AX102" s="187"/>
      <c r="AY102" s="187"/>
      <c r="AZ102" s="187"/>
      <c r="BA102" s="189">
        <f>13.31+(0.018*2)</f>
        <v>13.346</v>
      </c>
      <c r="BB102" s="189">
        <f>2.87+(0.018*2)</f>
        <v>2.9060000000000001</v>
      </c>
      <c r="BC102" s="189">
        <f>13.31+(0.018*4)</f>
        <v>13.382</v>
      </c>
      <c r="BD102" s="51">
        <f t="shared" si="23"/>
        <v>0.30034749758796297</v>
      </c>
      <c r="BE102" s="212">
        <f>0.908+0.1</f>
        <v>1.008</v>
      </c>
      <c r="BF102" s="213">
        <f>14.25+(0.125*2)</f>
        <v>14.5</v>
      </c>
      <c r="BG102" s="213">
        <f>13.5+(0.125*2)</f>
        <v>13.75</v>
      </c>
      <c r="BH102" s="213">
        <f>9+(0.125*4)</f>
        <v>9.5</v>
      </c>
      <c r="BI102" s="51">
        <f>(BH102*BG102*BF102)/1728</f>
        <v>1.0961009837962963</v>
      </c>
      <c r="BJ102" s="212">
        <f>(BE102*3)+0.25</f>
        <v>3.274</v>
      </c>
      <c r="BK102" s="212"/>
      <c r="BL102" s="212"/>
      <c r="BM102" s="114" t="s">
        <v>793</v>
      </c>
      <c r="BN102" s="114">
        <v>3</v>
      </c>
      <c r="BO102" s="114">
        <v>6</v>
      </c>
      <c r="BP102" s="114">
        <v>4</v>
      </c>
      <c r="BQ102" s="192">
        <f t="shared" si="22"/>
        <v>72</v>
      </c>
      <c r="BR102" s="192">
        <f>(BJ102*BO102*BP102)+50</f>
        <v>128.57599999999999</v>
      </c>
      <c r="BS102" s="114" t="s">
        <v>951</v>
      </c>
      <c r="BT102" s="192" t="s">
        <v>766</v>
      </c>
      <c r="BU102" s="81"/>
      <c r="BV102" s="81"/>
      <c r="BW102" s="81"/>
    </row>
    <row r="103" spans="1:79" s="1" customFormat="1" ht="60" customHeight="1" x14ac:dyDescent="0.25">
      <c r="A103" s="184">
        <v>42264</v>
      </c>
      <c r="B103" s="114" t="s">
        <v>14</v>
      </c>
      <c r="C103" s="31" t="s">
        <v>1076</v>
      </c>
      <c r="D103" s="114" t="s">
        <v>60</v>
      </c>
      <c r="E103" s="214" t="s">
        <v>1077</v>
      </c>
      <c r="F103" s="214" t="s">
        <v>1078</v>
      </c>
      <c r="G103" s="170"/>
      <c r="H103" s="50"/>
      <c r="I103" s="114"/>
      <c r="J103" s="114"/>
      <c r="K103" s="25"/>
      <c r="L103" s="26"/>
      <c r="M103" s="26"/>
      <c r="N103" s="26"/>
      <c r="O103" s="34"/>
      <c r="P103" s="34"/>
      <c r="Q103" s="34"/>
      <c r="R103" s="34"/>
      <c r="S103" s="34"/>
      <c r="T103" s="34"/>
      <c r="U103" s="25" t="s">
        <v>1079</v>
      </c>
      <c r="V103" s="33"/>
      <c r="W103" s="25"/>
      <c r="X103" s="33"/>
      <c r="Y103" s="31"/>
      <c r="Z103" s="33"/>
      <c r="AA103" s="25" t="s">
        <v>1080</v>
      </c>
      <c r="AB103" s="41"/>
      <c r="AC103" s="114"/>
      <c r="AD103" s="41"/>
      <c r="AE103" s="114"/>
      <c r="AF103" s="114"/>
      <c r="AG103" s="114"/>
      <c r="AH103" s="114"/>
      <c r="AI103" s="114"/>
      <c r="AJ103" s="114"/>
      <c r="AK103" s="114"/>
      <c r="AL103" s="31"/>
      <c r="AM103" s="114"/>
      <c r="AN103" s="114"/>
      <c r="AO103" s="114"/>
      <c r="AP103" s="114"/>
      <c r="AQ103" s="25" t="s">
        <v>1081</v>
      </c>
      <c r="AR103" s="209">
        <v>69.989999999999995</v>
      </c>
      <c r="AS103" s="210" t="s">
        <v>1082</v>
      </c>
      <c r="AT103" s="211">
        <v>10038568739817</v>
      </c>
      <c r="AU103" s="187"/>
      <c r="AV103" s="187"/>
      <c r="AW103" s="187"/>
      <c r="AX103" s="187"/>
      <c r="AY103" s="187"/>
      <c r="AZ103" s="187"/>
      <c r="BA103" s="189">
        <f>3.81+(0.125*2)</f>
        <v>4.0600000000000005</v>
      </c>
      <c r="BB103" s="189">
        <f>3.81+(0.125*2)</f>
        <v>4.0600000000000005</v>
      </c>
      <c r="BC103" s="189">
        <f>5.37+(0.125*4)</f>
        <v>5.87</v>
      </c>
      <c r="BD103" s="51">
        <f t="shared" si="23"/>
        <v>5.5994636574074087E-2</v>
      </c>
      <c r="BE103" s="212">
        <f>1.5+0.25</f>
        <v>1.75</v>
      </c>
      <c r="BF103" s="403" t="s">
        <v>985</v>
      </c>
      <c r="BG103" s="404"/>
      <c r="BH103" s="404"/>
      <c r="BI103" s="404"/>
      <c r="BJ103" s="405"/>
      <c r="BK103" s="338"/>
      <c r="BL103" s="338"/>
      <c r="BM103" s="114" t="s">
        <v>793</v>
      </c>
      <c r="BN103" s="114">
        <v>1</v>
      </c>
      <c r="BO103" s="114">
        <v>99</v>
      </c>
      <c r="BP103" s="114">
        <v>6</v>
      </c>
      <c r="BQ103" s="192">
        <f t="shared" si="22"/>
        <v>594</v>
      </c>
      <c r="BR103" s="192">
        <f>(BE103*BQ103)+50</f>
        <v>1089.5</v>
      </c>
      <c r="BS103" s="114" t="s">
        <v>769</v>
      </c>
      <c r="BT103" s="192" t="s">
        <v>766</v>
      </c>
      <c r="BU103" s="81"/>
      <c r="BV103" s="81"/>
      <c r="BW103" s="81"/>
      <c r="BX103" s="81"/>
      <c r="BY103" s="81"/>
    </row>
    <row r="104" spans="1:79" s="1" customFormat="1" x14ac:dyDescent="0.25">
      <c r="A104" s="184">
        <v>42264</v>
      </c>
      <c r="B104" s="114" t="s">
        <v>14</v>
      </c>
      <c r="C104" s="31" t="s">
        <v>1083</v>
      </c>
      <c r="D104" s="114" t="s">
        <v>735</v>
      </c>
      <c r="E104" s="208" t="s">
        <v>1084</v>
      </c>
      <c r="F104" s="114" t="s">
        <v>1085</v>
      </c>
      <c r="G104" s="170" t="s">
        <v>963</v>
      </c>
      <c r="H104" s="114" t="s">
        <v>1086</v>
      </c>
      <c r="I104" s="114"/>
      <c r="J104" s="114"/>
      <c r="K104" s="25"/>
      <c r="L104" s="26"/>
      <c r="M104" s="26"/>
      <c r="N104" s="26"/>
      <c r="O104" s="34"/>
      <c r="P104" s="34"/>
      <c r="Q104" s="34"/>
      <c r="R104" s="34"/>
      <c r="S104" s="34"/>
      <c r="T104" s="34"/>
      <c r="U104" s="25" t="s">
        <v>1087</v>
      </c>
      <c r="V104" s="33"/>
      <c r="W104" s="25"/>
      <c r="X104" s="33"/>
      <c r="Y104" s="31"/>
      <c r="Z104" s="33"/>
      <c r="AA104" s="25"/>
      <c r="AB104" s="25"/>
      <c r="AC104" s="114"/>
      <c r="AD104" s="41"/>
      <c r="AE104" s="114"/>
      <c r="AF104" s="114"/>
      <c r="AG104" s="114"/>
      <c r="AH104" s="114"/>
      <c r="AI104" s="114"/>
      <c r="AJ104" s="114"/>
      <c r="AK104" s="114"/>
      <c r="AL104" s="31"/>
      <c r="AM104" s="114"/>
      <c r="AN104" s="114"/>
      <c r="AO104" s="114"/>
      <c r="AP104" s="114"/>
      <c r="AQ104" s="25"/>
      <c r="AR104" s="209">
        <v>18.97</v>
      </c>
      <c r="AS104" s="210" t="s">
        <v>1088</v>
      </c>
      <c r="AT104" s="211">
        <v>10038568743234</v>
      </c>
      <c r="AU104" s="203">
        <v>5.98</v>
      </c>
      <c r="AV104" s="203">
        <v>2.91</v>
      </c>
      <c r="AW104" s="203">
        <v>0.79</v>
      </c>
      <c r="AX104" s="187"/>
      <c r="AY104" s="187"/>
      <c r="AZ104" s="187"/>
      <c r="BA104" s="189">
        <f>3.15+(0.018*2)</f>
        <v>3.1859999999999999</v>
      </c>
      <c r="BB104" s="189">
        <f>3.15+(0.018*2)</f>
        <v>3.1859999999999999</v>
      </c>
      <c r="BC104" s="189">
        <f>6+(0.018*4)</f>
        <v>6.0720000000000001</v>
      </c>
      <c r="BD104" s="51">
        <f t="shared" si="23"/>
        <v>3.5668066499999998E-2</v>
      </c>
      <c r="BE104" s="212">
        <f>0.07+0.1</f>
        <v>0.17</v>
      </c>
      <c r="BF104" s="215">
        <f>9.75+(0.125*2)</f>
        <v>10</v>
      </c>
      <c r="BG104" s="216">
        <f>6.5+(0.125*2)</f>
        <v>6.75</v>
      </c>
      <c r="BH104" s="216">
        <f>6.12+(0.125*4)</f>
        <v>6.62</v>
      </c>
      <c r="BI104" s="206">
        <f t="shared" ref="BI104:BI115" si="29">(BH104*BG104*BF104)/1728</f>
        <v>0.25859375000000001</v>
      </c>
      <c r="BJ104" s="217">
        <f t="shared" ref="BJ104:BJ111" si="30">(BE104*6)+0.25</f>
        <v>1.27</v>
      </c>
      <c r="BK104" s="217"/>
      <c r="BL104" s="217"/>
      <c r="BM104" s="114" t="s">
        <v>793</v>
      </c>
      <c r="BN104" s="114">
        <v>6</v>
      </c>
      <c r="BO104" s="114">
        <v>26</v>
      </c>
      <c r="BP104" s="114">
        <v>6</v>
      </c>
      <c r="BQ104" s="192">
        <f t="shared" si="22"/>
        <v>936</v>
      </c>
      <c r="BR104" s="192">
        <f t="shared" ref="BR104:BR110" si="31">(BJ104*BO104*BP104)+50</f>
        <v>248.12</v>
      </c>
      <c r="BS104" s="114" t="s">
        <v>769</v>
      </c>
      <c r="BT104" s="192" t="s">
        <v>766</v>
      </c>
      <c r="BU104" s="81"/>
      <c r="BV104" s="35"/>
      <c r="BW104" s="35"/>
      <c r="BX104" s="81"/>
      <c r="BY104" s="81"/>
      <c r="BZ104" s="81"/>
      <c r="CA104" s="81"/>
    </row>
    <row r="105" spans="1:79" s="1" customFormat="1" x14ac:dyDescent="0.25">
      <c r="A105" s="184">
        <v>42264</v>
      </c>
      <c r="B105" s="114" t="s">
        <v>14</v>
      </c>
      <c r="C105" s="31" t="s">
        <v>1089</v>
      </c>
      <c r="D105" s="114" t="s">
        <v>735</v>
      </c>
      <c r="E105" s="208" t="s">
        <v>1084</v>
      </c>
      <c r="F105" s="114" t="s">
        <v>1090</v>
      </c>
      <c r="G105" s="170" t="s">
        <v>754</v>
      </c>
      <c r="H105" s="170">
        <v>64319159606</v>
      </c>
      <c r="I105" s="114"/>
      <c r="J105" s="114"/>
      <c r="K105" s="25"/>
      <c r="L105" s="26"/>
      <c r="M105" s="26"/>
      <c r="N105" s="26"/>
      <c r="O105" s="34"/>
      <c r="P105" s="34"/>
      <c r="Q105" s="34"/>
      <c r="R105" s="34"/>
      <c r="S105" s="34"/>
      <c r="T105" s="34"/>
      <c r="U105" s="25"/>
      <c r="V105" s="33"/>
      <c r="W105" s="25"/>
      <c r="X105" s="33"/>
      <c r="Y105" s="31"/>
      <c r="Z105" s="33"/>
      <c r="AA105" s="25"/>
      <c r="AB105" s="41"/>
      <c r="AC105" s="114"/>
      <c r="AD105" s="41"/>
      <c r="AE105" s="114"/>
      <c r="AF105" s="114"/>
      <c r="AG105" s="114"/>
      <c r="AH105" s="114"/>
      <c r="AI105" s="114"/>
      <c r="AJ105" s="114"/>
      <c r="AK105" s="114"/>
      <c r="AL105" s="31"/>
      <c r="AM105" s="114"/>
      <c r="AN105" s="114"/>
      <c r="AO105" s="114"/>
      <c r="AP105" s="114"/>
      <c r="AQ105" s="25"/>
      <c r="AR105" s="209">
        <v>74.28</v>
      </c>
      <c r="AS105" s="210" t="s">
        <v>1091</v>
      </c>
      <c r="AT105" s="211">
        <v>10038568743456</v>
      </c>
      <c r="AU105" s="203">
        <v>8.6199999999999992</v>
      </c>
      <c r="AV105" s="203">
        <v>3.76</v>
      </c>
      <c r="AW105" s="203">
        <v>0.87</v>
      </c>
      <c r="AX105" s="187"/>
      <c r="AY105" s="187"/>
      <c r="AZ105" s="187"/>
      <c r="BA105" s="189">
        <f>5.59+(0.018*2)</f>
        <v>5.6259999999999994</v>
      </c>
      <c r="BB105" s="189">
        <f>2+(0.018*2)</f>
        <v>2.036</v>
      </c>
      <c r="BC105" s="189">
        <f>9.62+(0.018*4)</f>
        <v>9.6919999999999984</v>
      </c>
      <c r="BD105" s="51">
        <f t="shared" si="23"/>
        <v>6.424615909259257E-2</v>
      </c>
      <c r="BE105" s="212">
        <f>0.56+0.1</f>
        <v>0.66</v>
      </c>
      <c r="BF105" s="213">
        <f>13+(0.125*2)</f>
        <v>13.25</v>
      </c>
      <c r="BG105" s="213">
        <f>9.75+(0.125*2)</f>
        <v>10</v>
      </c>
      <c r="BH105" s="213">
        <f>5.75+(0.125*4)</f>
        <v>6.25</v>
      </c>
      <c r="BI105" s="51">
        <f t="shared" si="29"/>
        <v>0.47923900462962965</v>
      </c>
      <c r="BJ105" s="212">
        <f t="shared" si="30"/>
        <v>4.21</v>
      </c>
      <c r="BK105" s="212"/>
      <c r="BL105" s="212"/>
      <c r="BM105" s="114" t="s">
        <v>793</v>
      </c>
      <c r="BN105" s="114">
        <v>6</v>
      </c>
      <c r="BO105" s="114">
        <v>14</v>
      </c>
      <c r="BP105" s="114">
        <v>7</v>
      </c>
      <c r="BQ105" s="192">
        <f t="shared" si="22"/>
        <v>588</v>
      </c>
      <c r="BR105" s="192">
        <f t="shared" si="31"/>
        <v>462.58</v>
      </c>
      <c r="BS105" s="114" t="s">
        <v>769</v>
      </c>
      <c r="BT105" s="192" t="s">
        <v>766</v>
      </c>
      <c r="BU105" s="81"/>
      <c r="BV105" s="81"/>
      <c r="BW105" s="35"/>
    </row>
    <row r="106" spans="1:79" s="1" customFormat="1" ht="30" x14ac:dyDescent="0.25">
      <c r="A106" s="184">
        <v>42264</v>
      </c>
      <c r="B106" s="114" t="s">
        <v>14</v>
      </c>
      <c r="C106" s="31" t="s">
        <v>1092</v>
      </c>
      <c r="D106" s="114" t="s">
        <v>735</v>
      </c>
      <c r="E106" s="208" t="s">
        <v>1084</v>
      </c>
      <c r="F106" s="218" t="s">
        <v>1093</v>
      </c>
      <c r="G106" s="170" t="s">
        <v>1094</v>
      </c>
      <c r="H106" s="114">
        <v>1648300218</v>
      </c>
      <c r="I106" s="114"/>
      <c r="J106" s="114"/>
      <c r="K106" s="25"/>
      <c r="L106" s="26"/>
      <c r="M106" s="26"/>
      <c r="N106" s="26"/>
      <c r="O106" s="34"/>
      <c r="P106" s="34"/>
      <c r="Q106" s="34"/>
      <c r="R106" s="34"/>
      <c r="S106" s="34"/>
      <c r="T106" s="34"/>
      <c r="U106" s="25"/>
      <c r="V106" s="33"/>
      <c r="W106" s="25"/>
      <c r="X106" s="33"/>
      <c r="Y106" s="31"/>
      <c r="Z106" s="33"/>
      <c r="AA106" s="25"/>
      <c r="AB106" s="41"/>
      <c r="AC106" s="114"/>
      <c r="AD106" s="41"/>
      <c r="AE106" s="114"/>
      <c r="AF106" s="114"/>
      <c r="AG106" s="114"/>
      <c r="AH106" s="114"/>
      <c r="AI106" s="114"/>
      <c r="AJ106" s="114"/>
      <c r="AK106" s="114"/>
      <c r="AL106" s="31"/>
      <c r="AM106" s="114"/>
      <c r="AN106" s="114"/>
      <c r="AO106" s="114"/>
      <c r="AP106" s="114"/>
      <c r="AQ106" s="25"/>
      <c r="AR106" s="209">
        <v>45.78</v>
      </c>
      <c r="AS106" s="210" t="s">
        <v>1095</v>
      </c>
      <c r="AT106" s="211">
        <v>10038568743548</v>
      </c>
      <c r="AU106" s="203">
        <v>10</v>
      </c>
      <c r="AV106" s="203">
        <v>5.27</v>
      </c>
      <c r="AW106" s="203">
        <v>1.57</v>
      </c>
      <c r="AX106" s="187"/>
      <c r="AY106" s="187"/>
      <c r="AZ106" s="187"/>
      <c r="BA106" s="219">
        <f>10+(0.018*2)</f>
        <v>10.036</v>
      </c>
      <c r="BB106" s="220">
        <f>2+(0.018*2)</f>
        <v>2.036</v>
      </c>
      <c r="BC106" s="220">
        <f>11.75+(0.018*4)</f>
        <v>11.821999999999999</v>
      </c>
      <c r="BD106" s="206">
        <f t="shared" si="23"/>
        <v>0.13979307020370368</v>
      </c>
      <c r="BE106" s="217">
        <f>0.32+0.1</f>
        <v>0.42000000000000004</v>
      </c>
      <c r="BF106" s="213">
        <f>12.5+(0.125*2)</f>
        <v>12.75</v>
      </c>
      <c r="BG106" s="213">
        <f>11.12+(0.125*2)</f>
        <v>11.37</v>
      </c>
      <c r="BH106" s="213">
        <f>12.5+(0.125*4)</f>
        <v>13</v>
      </c>
      <c r="BI106" s="51">
        <f t="shared" si="29"/>
        <v>1.0906119791666666</v>
      </c>
      <c r="BJ106" s="212">
        <f t="shared" si="30"/>
        <v>2.7700000000000005</v>
      </c>
      <c r="BK106" s="212"/>
      <c r="BL106" s="212"/>
      <c r="BM106" s="114" t="s">
        <v>793</v>
      </c>
      <c r="BN106" s="114">
        <v>6</v>
      </c>
      <c r="BO106" s="114">
        <v>12</v>
      </c>
      <c r="BP106" s="114">
        <v>3</v>
      </c>
      <c r="BQ106" s="192">
        <f t="shared" si="22"/>
        <v>216</v>
      </c>
      <c r="BR106" s="192">
        <f t="shared" si="31"/>
        <v>149.72000000000003</v>
      </c>
      <c r="BS106" s="114" t="s">
        <v>769</v>
      </c>
      <c r="BT106" s="192" t="s">
        <v>766</v>
      </c>
      <c r="BU106" s="81"/>
      <c r="BV106" s="81"/>
      <c r="BW106" s="35"/>
      <c r="BX106" s="81"/>
    </row>
    <row r="107" spans="1:79" s="1" customFormat="1" x14ac:dyDescent="0.25">
      <c r="A107" s="184">
        <v>42264</v>
      </c>
      <c r="B107" s="114" t="s">
        <v>14</v>
      </c>
      <c r="C107" s="31" t="s">
        <v>1096</v>
      </c>
      <c r="D107" s="114" t="s">
        <v>735</v>
      </c>
      <c r="E107" s="208" t="s">
        <v>1084</v>
      </c>
      <c r="F107" s="114" t="s">
        <v>1097</v>
      </c>
      <c r="G107" s="170" t="s">
        <v>865</v>
      </c>
      <c r="H107" s="114" t="s">
        <v>1098</v>
      </c>
      <c r="I107" s="114"/>
      <c r="J107" s="114"/>
      <c r="K107" s="25"/>
      <c r="L107" s="26"/>
      <c r="M107" s="26"/>
      <c r="N107" s="26"/>
      <c r="O107" s="34"/>
      <c r="P107" s="34"/>
      <c r="Q107" s="34"/>
      <c r="R107" s="34"/>
      <c r="S107" s="34"/>
      <c r="T107" s="34"/>
      <c r="U107" s="197"/>
      <c r="V107" s="33"/>
      <c r="W107" s="25"/>
      <c r="X107" s="33"/>
      <c r="Y107" s="31"/>
      <c r="Z107" s="33"/>
      <c r="AA107" s="25"/>
      <c r="AB107" s="221"/>
      <c r="AC107" s="114"/>
      <c r="AD107" s="41"/>
      <c r="AE107" s="114"/>
      <c r="AF107" s="114"/>
      <c r="AG107" s="114"/>
      <c r="AH107" s="114"/>
      <c r="AI107" s="114"/>
      <c r="AJ107" s="114"/>
      <c r="AK107" s="114"/>
      <c r="AL107" s="31"/>
      <c r="AM107" s="114"/>
      <c r="AN107" s="114"/>
      <c r="AO107" s="114"/>
      <c r="AP107" s="114"/>
      <c r="AQ107" s="25"/>
      <c r="AR107" s="209">
        <v>27.95</v>
      </c>
      <c r="AS107" s="210" t="s">
        <v>1099</v>
      </c>
      <c r="AT107" s="211">
        <v>10038568743203</v>
      </c>
      <c r="AU107" s="203">
        <v>6.57</v>
      </c>
      <c r="AV107" s="203">
        <v>6.38</v>
      </c>
      <c r="AW107" s="203">
        <v>0.79</v>
      </c>
      <c r="AX107" s="187"/>
      <c r="AY107" s="187"/>
      <c r="AZ107" s="187"/>
      <c r="BA107" s="189">
        <f>7.25+(0.018*2)</f>
        <v>7.2859999999999996</v>
      </c>
      <c r="BB107" s="189">
        <f>1.68+(0.018*2)</f>
        <v>1.716</v>
      </c>
      <c r="BC107" s="189">
        <f>8+(0.018*4)</f>
        <v>8.0719999999999992</v>
      </c>
      <c r="BD107" s="51">
        <f t="shared" si="23"/>
        <v>5.8404171222222211E-2</v>
      </c>
      <c r="BE107" s="212">
        <f>0.15+0.1</f>
        <v>0.25</v>
      </c>
      <c r="BF107" s="213">
        <f>10.75+(0.125*2)</f>
        <v>11</v>
      </c>
      <c r="BG107" s="213">
        <f>7.75+(0.125*2)</f>
        <v>8</v>
      </c>
      <c r="BH107" s="213">
        <f>8.12+(0.125*4)</f>
        <v>8.6199999999999992</v>
      </c>
      <c r="BI107" s="51">
        <f t="shared" si="29"/>
        <v>0.43898148148148147</v>
      </c>
      <c r="BJ107" s="212">
        <f t="shared" si="30"/>
        <v>1.75</v>
      </c>
      <c r="BK107" s="212"/>
      <c r="BL107" s="212"/>
      <c r="BM107" s="114" t="s">
        <v>793</v>
      </c>
      <c r="BN107" s="114">
        <v>6</v>
      </c>
      <c r="BO107" s="114">
        <v>20</v>
      </c>
      <c r="BP107" s="114">
        <v>5</v>
      </c>
      <c r="BQ107" s="192">
        <f t="shared" si="22"/>
        <v>600</v>
      </c>
      <c r="BR107" s="192">
        <f t="shared" si="31"/>
        <v>225</v>
      </c>
      <c r="BS107" s="114" t="s">
        <v>769</v>
      </c>
      <c r="BT107" s="192" t="s">
        <v>766</v>
      </c>
      <c r="BU107" s="81"/>
      <c r="BV107" s="81"/>
      <c r="BW107" s="35"/>
    </row>
    <row r="108" spans="1:79" s="1" customFormat="1" x14ac:dyDescent="0.25">
      <c r="A108" s="184">
        <v>42264</v>
      </c>
      <c r="B108" s="114" t="s">
        <v>14</v>
      </c>
      <c r="C108" s="31" t="s">
        <v>1027</v>
      </c>
      <c r="D108" s="114" t="s">
        <v>735</v>
      </c>
      <c r="E108" s="208" t="s">
        <v>1084</v>
      </c>
      <c r="F108" s="114" t="s">
        <v>1100</v>
      </c>
      <c r="G108" s="170" t="s">
        <v>1101</v>
      </c>
      <c r="H108" s="114" t="s">
        <v>1030</v>
      </c>
      <c r="I108" s="114"/>
      <c r="J108" s="114"/>
      <c r="K108" s="25"/>
      <c r="L108" s="26"/>
      <c r="M108" s="26"/>
      <c r="N108" s="26"/>
      <c r="O108" s="34"/>
      <c r="P108" s="34"/>
      <c r="Q108" s="34"/>
      <c r="R108" s="34"/>
      <c r="S108" s="34"/>
      <c r="T108" s="34"/>
      <c r="U108" s="25"/>
      <c r="V108" s="33"/>
      <c r="W108" s="25"/>
      <c r="X108" s="33"/>
      <c r="Y108" s="31"/>
      <c r="Z108" s="33"/>
      <c r="AA108" s="25"/>
      <c r="AB108" s="41"/>
      <c r="AC108" s="114"/>
      <c r="AD108" s="41"/>
      <c r="AE108" s="114"/>
      <c r="AF108" s="114"/>
      <c r="AG108" s="114"/>
      <c r="AH108" s="114"/>
      <c r="AI108" s="114"/>
      <c r="AJ108" s="114"/>
      <c r="AK108" s="114"/>
      <c r="AL108" s="31"/>
      <c r="AM108" s="114"/>
      <c r="AN108" s="114"/>
      <c r="AO108" s="114"/>
      <c r="AP108" s="114"/>
      <c r="AQ108" s="114" t="s">
        <v>1031</v>
      </c>
      <c r="AR108" s="209">
        <v>41.96</v>
      </c>
      <c r="AS108" s="210" t="s">
        <v>1032</v>
      </c>
      <c r="AT108" s="211">
        <v>10038568743296</v>
      </c>
      <c r="AU108" s="203">
        <v>10.75</v>
      </c>
      <c r="AV108" s="203">
        <v>7.76</v>
      </c>
      <c r="AW108" s="203">
        <v>0.4</v>
      </c>
      <c r="AX108" s="187"/>
      <c r="AY108" s="187"/>
      <c r="AZ108" s="187"/>
      <c r="BA108" s="189">
        <f>8.281+(0.018*2)</f>
        <v>8.3170000000000002</v>
      </c>
      <c r="BB108" s="189">
        <f>1.375+(0.018*2)</f>
        <v>1.411</v>
      </c>
      <c r="BC108" s="189">
        <f>8.11+(0.018*4)</f>
        <v>8.1819999999999986</v>
      </c>
      <c r="BD108" s="51">
        <f t="shared" si="23"/>
        <v>5.5566040644675928E-2</v>
      </c>
      <c r="BE108" s="212">
        <f>0.27+0.1</f>
        <v>0.37</v>
      </c>
      <c r="BF108" s="213">
        <f>11.62+(0.125*2)</f>
        <v>11.87</v>
      </c>
      <c r="BG108" s="213">
        <f>8.75+(0.125*2)</f>
        <v>9</v>
      </c>
      <c r="BH108" s="213">
        <f>8.5+(0.125*4)</f>
        <v>9</v>
      </c>
      <c r="BI108" s="51">
        <f t="shared" si="29"/>
        <v>0.55640624999999999</v>
      </c>
      <c r="BJ108" s="212">
        <f t="shared" si="30"/>
        <v>2.4699999999999998</v>
      </c>
      <c r="BK108" s="212"/>
      <c r="BL108" s="212"/>
      <c r="BM108" s="114" t="s">
        <v>793</v>
      </c>
      <c r="BN108" s="114">
        <v>6</v>
      </c>
      <c r="BO108" s="114">
        <v>17</v>
      </c>
      <c r="BP108" s="114">
        <v>5</v>
      </c>
      <c r="BQ108" s="192">
        <f t="shared" si="22"/>
        <v>510</v>
      </c>
      <c r="BR108" s="192">
        <f t="shared" si="31"/>
        <v>259.95</v>
      </c>
      <c r="BS108" s="114" t="s">
        <v>769</v>
      </c>
      <c r="BT108" s="192" t="s">
        <v>766</v>
      </c>
      <c r="BU108" s="35"/>
      <c r="BV108" s="35"/>
      <c r="BW108" s="35"/>
    </row>
    <row r="109" spans="1:79" s="1" customFormat="1" ht="30" x14ac:dyDescent="0.25">
      <c r="A109" s="184">
        <v>42264</v>
      </c>
      <c r="B109" s="114" t="s">
        <v>14</v>
      </c>
      <c r="C109" s="31" t="s">
        <v>1102</v>
      </c>
      <c r="D109" s="114" t="s">
        <v>735</v>
      </c>
      <c r="E109" s="208" t="s">
        <v>1084</v>
      </c>
      <c r="F109" s="218" t="s">
        <v>1103</v>
      </c>
      <c r="G109" s="170" t="s">
        <v>963</v>
      </c>
      <c r="H109" s="114" t="s">
        <v>1104</v>
      </c>
      <c r="I109" s="114"/>
      <c r="J109" s="114"/>
      <c r="K109" s="25"/>
      <c r="L109" s="26"/>
      <c r="M109" s="26"/>
      <c r="N109" s="26"/>
      <c r="O109" s="34"/>
      <c r="P109" s="34"/>
      <c r="Q109" s="34"/>
      <c r="R109" s="34"/>
      <c r="S109" s="34"/>
      <c r="T109" s="34"/>
      <c r="U109" s="25"/>
      <c r="V109" s="33"/>
      <c r="W109" s="25"/>
      <c r="X109" s="33"/>
      <c r="Y109" s="31"/>
      <c r="Z109" s="33"/>
      <c r="AA109" s="25"/>
      <c r="AB109" s="25" t="s">
        <v>1105</v>
      </c>
      <c r="AC109" s="114"/>
      <c r="AD109" s="41"/>
      <c r="AE109" s="114"/>
      <c r="AF109" s="114"/>
      <c r="AG109" s="114"/>
      <c r="AH109" s="114"/>
      <c r="AI109" s="114" t="s">
        <v>1102</v>
      </c>
      <c r="AJ109" s="114"/>
      <c r="AK109" s="114"/>
      <c r="AL109" s="31" t="s">
        <v>1106</v>
      </c>
      <c r="AM109" s="114"/>
      <c r="AN109" s="114" t="s">
        <v>1106</v>
      </c>
      <c r="AO109" s="114"/>
      <c r="AP109" s="114" t="s">
        <v>1107</v>
      </c>
      <c r="AQ109" s="114">
        <v>24048</v>
      </c>
      <c r="AR109" s="209">
        <v>25.95</v>
      </c>
      <c r="AS109" s="210" t="s">
        <v>1108</v>
      </c>
      <c r="AT109" s="211">
        <v>10038568743555</v>
      </c>
      <c r="AU109" s="203">
        <v>10.94</v>
      </c>
      <c r="AV109" s="203">
        <v>7.83</v>
      </c>
      <c r="AW109" s="203">
        <v>1.18</v>
      </c>
      <c r="AX109" s="187"/>
      <c r="AY109" s="187"/>
      <c r="AZ109" s="187"/>
      <c r="BA109" s="189">
        <f>8.298+(0.018*2)</f>
        <v>8.3339999999999996</v>
      </c>
      <c r="BB109" s="189">
        <f>1.375+(0.018*2)</f>
        <v>1.411</v>
      </c>
      <c r="BC109" s="189">
        <f>8.11+(0.018*4)</f>
        <v>8.1819999999999986</v>
      </c>
      <c r="BD109" s="51">
        <f t="shared" si="23"/>
        <v>5.5679617979166658E-2</v>
      </c>
      <c r="BE109" s="212">
        <f>0.45+0.1</f>
        <v>0.55000000000000004</v>
      </c>
      <c r="BF109" s="213">
        <f>11.62+(0.125*2)</f>
        <v>11.87</v>
      </c>
      <c r="BG109" s="213">
        <f>8.75+(0.125*2)</f>
        <v>9</v>
      </c>
      <c r="BH109" s="213">
        <f>8.5+(0.125*4)</f>
        <v>9</v>
      </c>
      <c r="BI109" s="51">
        <f t="shared" si="29"/>
        <v>0.55640624999999999</v>
      </c>
      <c r="BJ109" s="212">
        <f t="shared" si="30"/>
        <v>3.5500000000000003</v>
      </c>
      <c r="BK109" s="212"/>
      <c r="BL109" s="212"/>
      <c r="BM109" s="114" t="s">
        <v>793</v>
      </c>
      <c r="BN109" s="114">
        <v>6</v>
      </c>
      <c r="BO109" s="114">
        <v>17</v>
      </c>
      <c r="BP109" s="114">
        <v>5</v>
      </c>
      <c r="BQ109" s="192">
        <f t="shared" si="22"/>
        <v>510</v>
      </c>
      <c r="BR109" s="192">
        <f t="shared" si="31"/>
        <v>351.75</v>
      </c>
      <c r="BS109" s="114" t="s">
        <v>769</v>
      </c>
      <c r="BT109" s="192" t="s">
        <v>766</v>
      </c>
      <c r="BU109" s="35"/>
      <c r="BV109" s="35"/>
      <c r="BW109" s="35"/>
    </row>
    <row r="110" spans="1:79" s="1" customFormat="1" x14ac:dyDescent="0.25">
      <c r="A110" s="184">
        <v>42264</v>
      </c>
      <c r="B110" s="114" t="s">
        <v>14</v>
      </c>
      <c r="C110" s="31" t="s">
        <v>1109</v>
      </c>
      <c r="D110" s="114" t="s">
        <v>735</v>
      </c>
      <c r="E110" s="208" t="s">
        <v>1084</v>
      </c>
      <c r="F110" s="114" t="s">
        <v>1110</v>
      </c>
      <c r="G110" s="170" t="s">
        <v>1111</v>
      </c>
      <c r="H110" s="114">
        <v>5335955</v>
      </c>
      <c r="I110" s="114"/>
      <c r="J110" s="114"/>
      <c r="K110" s="25"/>
      <c r="L110" s="26"/>
      <c r="M110" s="26"/>
      <c r="N110" s="26"/>
      <c r="O110" s="34"/>
      <c r="P110" s="34"/>
      <c r="Q110" s="34"/>
      <c r="R110" s="34"/>
      <c r="S110" s="34"/>
      <c r="T110" s="34"/>
      <c r="U110" s="25"/>
      <c r="V110" s="33"/>
      <c r="W110" s="25"/>
      <c r="X110" s="33"/>
      <c r="Y110" s="31"/>
      <c r="Z110" s="33"/>
      <c r="AA110" s="25"/>
      <c r="AB110" s="41"/>
      <c r="AC110" s="114"/>
      <c r="AD110" s="41"/>
      <c r="AE110" s="114"/>
      <c r="AF110" s="114"/>
      <c r="AG110" s="114"/>
      <c r="AH110" s="114"/>
      <c r="AI110" s="114" t="s">
        <v>1112</v>
      </c>
      <c r="AJ110" s="114"/>
      <c r="AK110" s="114"/>
      <c r="AL110" s="31" t="s">
        <v>1113</v>
      </c>
      <c r="AM110" s="114" t="s">
        <v>1112</v>
      </c>
      <c r="AN110" s="114"/>
      <c r="AO110" s="114"/>
      <c r="AP110" s="114"/>
      <c r="AQ110" s="25">
        <v>49370</v>
      </c>
      <c r="AR110" s="209">
        <v>41.23</v>
      </c>
      <c r="AS110" s="210" t="s">
        <v>1114</v>
      </c>
      <c r="AT110" s="211">
        <v>10038568743418</v>
      </c>
      <c r="AU110" s="203">
        <v>12.95</v>
      </c>
      <c r="AV110" s="203">
        <v>8.07</v>
      </c>
      <c r="AW110" s="203">
        <v>2.15</v>
      </c>
      <c r="AX110" s="187"/>
      <c r="AY110" s="187"/>
      <c r="AZ110" s="187"/>
      <c r="BA110" s="189">
        <f>8.62+(0.018*2)</f>
        <v>8.6559999999999988</v>
      </c>
      <c r="BB110" s="189">
        <f>2.25+(0.018*2)</f>
        <v>2.286</v>
      </c>
      <c r="BC110" s="189">
        <f>13.87+(0.018*4)</f>
        <v>13.941999999999998</v>
      </c>
      <c r="BD110" s="51">
        <f t="shared" si="23"/>
        <v>0.15965216566666662</v>
      </c>
      <c r="BE110" s="212">
        <f>0.85+0.1</f>
        <v>0.95</v>
      </c>
      <c r="BF110" s="213">
        <f>14.25+(0.125*2)</f>
        <v>14.5</v>
      </c>
      <c r="BG110" s="213">
        <f>14+(0.125*2)</f>
        <v>14.25</v>
      </c>
      <c r="BH110" s="213">
        <f>9+(0.125*4)</f>
        <v>9.5</v>
      </c>
      <c r="BI110" s="51">
        <f t="shared" si="29"/>
        <v>1.1359592013888888</v>
      </c>
      <c r="BJ110" s="212">
        <f t="shared" si="30"/>
        <v>5.9499999999999993</v>
      </c>
      <c r="BK110" s="212"/>
      <c r="BL110" s="212"/>
      <c r="BM110" s="114" t="s">
        <v>793</v>
      </c>
      <c r="BN110" s="114">
        <v>6</v>
      </c>
      <c r="BO110" s="114">
        <v>6</v>
      </c>
      <c r="BP110" s="114">
        <v>4</v>
      </c>
      <c r="BQ110" s="192">
        <f t="shared" si="22"/>
        <v>144</v>
      </c>
      <c r="BR110" s="192">
        <f t="shared" si="31"/>
        <v>192.79999999999998</v>
      </c>
      <c r="BS110" s="114" t="s">
        <v>769</v>
      </c>
      <c r="BT110" s="192" t="s">
        <v>766</v>
      </c>
      <c r="BU110" s="35"/>
      <c r="BV110" s="35"/>
      <c r="BW110" s="35"/>
    </row>
    <row r="111" spans="1:79" s="1" customFormat="1" ht="30" x14ac:dyDescent="0.25">
      <c r="A111" s="184">
        <v>42264</v>
      </c>
      <c r="B111" s="114" t="s">
        <v>14</v>
      </c>
      <c r="C111" s="31" t="s">
        <v>1115</v>
      </c>
      <c r="D111" s="114" t="s">
        <v>60</v>
      </c>
      <c r="E111" s="208" t="s">
        <v>1116</v>
      </c>
      <c r="F111" s="214" t="s">
        <v>1117</v>
      </c>
      <c r="G111" s="222" t="s">
        <v>1118</v>
      </c>
      <c r="H111" s="114">
        <v>3619555</v>
      </c>
      <c r="I111" s="114"/>
      <c r="J111" s="114"/>
      <c r="K111" s="25"/>
      <c r="L111" s="26"/>
      <c r="M111" s="26"/>
      <c r="N111" s="26"/>
      <c r="O111" s="34"/>
      <c r="P111" s="34"/>
      <c r="Q111" s="34"/>
      <c r="R111" s="34"/>
      <c r="S111" s="34"/>
      <c r="T111" s="34"/>
      <c r="U111" s="25" t="s">
        <v>1119</v>
      </c>
      <c r="V111" s="33"/>
      <c r="W111" s="25"/>
      <c r="X111" s="33"/>
      <c r="Y111" s="31" t="s">
        <v>1120</v>
      </c>
      <c r="Z111" s="33"/>
      <c r="AA111" s="25" t="s">
        <v>1121</v>
      </c>
      <c r="AB111" s="41"/>
      <c r="AC111" s="114"/>
      <c r="AD111" s="41"/>
      <c r="AE111" s="114"/>
      <c r="AF111" s="114"/>
      <c r="AG111" s="114"/>
      <c r="AH111" s="114"/>
      <c r="AI111" s="114"/>
      <c r="AJ111" s="114"/>
      <c r="AK111" s="114"/>
      <c r="AL111" s="31"/>
      <c r="AM111" s="114"/>
      <c r="AN111" s="114"/>
      <c r="AO111" s="114"/>
      <c r="AP111" s="114"/>
      <c r="AQ111" s="25" t="s">
        <v>1122</v>
      </c>
      <c r="AR111" s="209">
        <v>45.36</v>
      </c>
      <c r="AS111" s="210" t="s">
        <v>1123</v>
      </c>
      <c r="AT111" s="211">
        <v>10038568740424</v>
      </c>
      <c r="AU111" s="187"/>
      <c r="AV111" s="187"/>
      <c r="AW111" s="187"/>
      <c r="AX111" s="203">
        <v>3.46</v>
      </c>
      <c r="AY111" s="203">
        <v>7.7</v>
      </c>
      <c r="AZ111" s="187"/>
      <c r="BA111" s="189">
        <f>3.81+(0.018*2)</f>
        <v>3.8460000000000001</v>
      </c>
      <c r="BB111" s="189">
        <f>3.81+(0.018*2)</f>
        <v>3.8460000000000001</v>
      </c>
      <c r="BC111" s="189">
        <f>8+(0.018*4)</f>
        <v>8.0719999999999992</v>
      </c>
      <c r="BD111" s="51">
        <f t="shared" si="23"/>
        <v>6.9096488166666664E-2</v>
      </c>
      <c r="BE111" s="212">
        <f>1.15+0.25</f>
        <v>1.4</v>
      </c>
      <c r="BF111" s="213">
        <f>11.68+(0.125*2)</f>
        <v>11.93</v>
      </c>
      <c r="BG111" s="213">
        <f>8.12+(0.125*2)</f>
        <v>8.3699999999999992</v>
      </c>
      <c r="BH111" s="213">
        <f>8.12+(0.125*4)</f>
        <v>8.6199999999999992</v>
      </c>
      <c r="BI111" s="51">
        <f t="shared" si="29"/>
        <v>0.49811478124999986</v>
      </c>
      <c r="BJ111" s="212">
        <f t="shared" si="30"/>
        <v>8.6499999999999986</v>
      </c>
      <c r="BK111" s="212"/>
      <c r="BL111" s="212"/>
      <c r="BM111" s="114" t="s">
        <v>793</v>
      </c>
      <c r="BN111" s="114">
        <v>6</v>
      </c>
      <c r="BO111" s="114">
        <v>17</v>
      </c>
      <c r="BP111" s="114">
        <v>5</v>
      </c>
      <c r="BQ111" s="192">
        <f t="shared" si="22"/>
        <v>510</v>
      </c>
      <c r="BR111" s="192">
        <f>(BE111*BQ111)+50</f>
        <v>764</v>
      </c>
      <c r="BS111" s="114" t="s">
        <v>886</v>
      </c>
      <c r="BT111" s="192" t="s">
        <v>766</v>
      </c>
      <c r="BU111" s="81"/>
      <c r="BV111" s="35"/>
      <c r="BW111" s="35"/>
    </row>
    <row r="112" spans="1:79" s="1" customFormat="1" ht="60" customHeight="1" x14ac:dyDescent="0.25">
      <c r="A112" s="184">
        <v>42264</v>
      </c>
      <c r="B112" s="114" t="s">
        <v>14</v>
      </c>
      <c r="C112" s="31" t="s">
        <v>1124</v>
      </c>
      <c r="D112" s="114" t="s">
        <v>60</v>
      </c>
      <c r="E112" s="208" t="s">
        <v>1125</v>
      </c>
      <c r="F112" s="26" t="s">
        <v>1126</v>
      </c>
      <c r="G112" s="170" t="s">
        <v>1127</v>
      </c>
      <c r="H112" s="26">
        <v>504082382</v>
      </c>
      <c r="I112" s="114"/>
      <c r="J112" s="114"/>
      <c r="K112" s="25"/>
      <c r="L112" s="26"/>
      <c r="M112" s="26"/>
      <c r="N112" s="26"/>
      <c r="O112" s="34"/>
      <c r="P112" s="34"/>
      <c r="Q112" s="34"/>
      <c r="R112" s="34"/>
      <c r="S112" s="34"/>
      <c r="T112" s="34"/>
      <c r="U112" s="25"/>
      <c r="V112" s="33"/>
      <c r="W112" s="25"/>
      <c r="X112" s="33"/>
      <c r="Y112" s="31"/>
      <c r="Z112" s="33"/>
      <c r="AA112" s="25"/>
      <c r="AB112" s="221"/>
      <c r="AC112" s="114"/>
      <c r="AD112" s="41"/>
      <c r="AE112" s="114"/>
      <c r="AF112" s="114"/>
      <c r="AG112" s="114"/>
      <c r="AH112" s="114"/>
      <c r="AI112" s="114"/>
      <c r="AJ112" s="114"/>
      <c r="AK112" s="114"/>
      <c r="AL112" s="31"/>
      <c r="AM112" s="114"/>
      <c r="AN112" s="114"/>
      <c r="AO112" s="114"/>
      <c r="AP112" s="114"/>
      <c r="AQ112" s="25"/>
      <c r="AR112" s="209">
        <v>49.99</v>
      </c>
      <c r="AS112" s="210" t="s">
        <v>1128</v>
      </c>
      <c r="AT112" s="211">
        <v>10038568738155</v>
      </c>
      <c r="AU112" s="187"/>
      <c r="AV112" s="187"/>
      <c r="AW112" s="187"/>
      <c r="AX112" s="203">
        <v>4.2300000000000004</v>
      </c>
      <c r="AY112" s="203">
        <v>9.07</v>
      </c>
      <c r="AZ112" s="203">
        <v>3.63</v>
      </c>
      <c r="BA112" s="403" t="s">
        <v>985</v>
      </c>
      <c r="BB112" s="404"/>
      <c r="BC112" s="404"/>
      <c r="BD112" s="404"/>
      <c r="BE112" s="405"/>
      <c r="BF112" s="213">
        <f>14.62+(0.125*2)</f>
        <v>14.87</v>
      </c>
      <c r="BG112" s="213">
        <f>9.75+(0.125*2)</f>
        <v>10</v>
      </c>
      <c r="BH112" s="213">
        <f>10+(0.125*4)</f>
        <v>10.5</v>
      </c>
      <c r="BI112" s="51">
        <f t="shared" si="29"/>
        <v>0.90355902777777775</v>
      </c>
      <c r="BJ112" s="212">
        <f>(2.44*6)+0.25</f>
        <v>14.89</v>
      </c>
      <c r="BK112" s="212"/>
      <c r="BL112" s="212"/>
      <c r="BM112" s="114" t="s">
        <v>793</v>
      </c>
      <c r="BN112" s="114">
        <v>6</v>
      </c>
      <c r="BO112" s="114">
        <v>12</v>
      </c>
      <c r="BP112" s="114">
        <v>4</v>
      </c>
      <c r="BQ112" s="192">
        <f t="shared" si="22"/>
        <v>288</v>
      </c>
      <c r="BR112" s="192">
        <f>(2.44*BQ112)+50+ (48*0.25)</f>
        <v>764.72</v>
      </c>
      <c r="BS112" s="114" t="s">
        <v>886</v>
      </c>
      <c r="BT112" s="192" t="s">
        <v>766</v>
      </c>
      <c r="BU112" s="81"/>
      <c r="BV112" s="81"/>
      <c r="BW112" s="81"/>
    </row>
    <row r="113" spans="1:83" s="1" customFormat="1" x14ac:dyDescent="0.25">
      <c r="A113" s="184">
        <v>42264</v>
      </c>
      <c r="B113" s="114" t="s">
        <v>14</v>
      </c>
      <c r="C113" s="31" t="s">
        <v>1133</v>
      </c>
      <c r="D113" s="114" t="s">
        <v>735</v>
      </c>
      <c r="E113" s="208" t="s">
        <v>1125</v>
      </c>
      <c r="F113" s="26" t="s">
        <v>1134</v>
      </c>
      <c r="G113" s="114" t="s">
        <v>754</v>
      </c>
      <c r="H113" s="26" t="s">
        <v>1135</v>
      </c>
      <c r="I113" s="114"/>
      <c r="J113" s="114"/>
      <c r="K113" s="25"/>
      <c r="L113" s="26"/>
      <c r="M113" s="26"/>
      <c r="N113" s="26"/>
      <c r="O113" s="34"/>
      <c r="P113" s="34"/>
      <c r="Q113" s="34"/>
      <c r="R113" s="34"/>
      <c r="S113" s="34"/>
      <c r="T113" s="34"/>
      <c r="U113" s="25"/>
      <c r="V113" s="33"/>
      <c r="W113" s="25"/>
      <c r="X113" s="33"/>
      <c r="Y113" s="31"/>
      <c r="Z113" s="33"/>
      <c r="AA113" s="25"/>
      <c r="AB113" s="25" t="s">
        <v>1136</v>
      </c>
      <c r="AC113" s="114"/>
      <c r="AD113" s="41"/>
      <c r="AE113" s="114"/>
      <c r="AF113" s="114"/>
      <c r="AG113" s="114"/>
      <c r="AH113" s="114"/>
      <c r="AI113" s="114"/>
      <c r="AJ113" s="114"/>
      <c r="AK113" s="114"/>
      <c r="AL113" s="31" t="s">
        <v>1137</v>
      </c>
      <c r="AM113" s="114" t="s">
        <v>1138</v>
      </c>
      <c r="AN113" s="114" t="s">
        <v>1139</v>
      </c>
      <c r="AO113" s="114"/>
      <c r="AP113" s="25" t="s">
        <v>1140</v>
      </c>
      <c r="AQ113" s="25"/>
      <c r="AR113" s="209">
        <v>13.9</v>
      </c>
      <c r="AS113" s="210" t="s">
        <v>1141</v>
      </c>
      <c r="AT113" s="211">
        <v>10038568743012</v>
      </c>
      <c r="AU113" s="187"/>
      <c r="AV113" s="187"/>
      <c r="AW113" s="187"/>
      <c r="AX113" s="203">
        <v>5.39</v>
      </c>
      <c r="AY113" s="203">
        <v>1.94</v>
      </c>
      <c r="AZ113" s="187"/>
      <c r="BA113" s="189">
        <f>2.312+(0.018*2)</f>
        <v>2.3479999999999999</v>
      </c>
      <c r="BB113" s="189">
        <f>2.312+(0.018*2)</f>
        <v>2.3479999999999999</v>
      </c>
      <c r="BC113" s="189">
        <f>5.75+(0.018*4)</f>
        <v>5.8220000000000001</v>
      </c>
      <c r="BD113" s="51">
        <f>(BC113*BB113*BA113)/1728</f>
        <v>1.8574821462962961E-2</v>
      </c>
      <c r="BE113" s="212">
        <f>0.115+0.1</f>
        <v>0.21500000000000002</v>
      </c>
      <c r="BF113" s="213">
        <f>10+(0.125*2)</f>
        <v>10.25</v>
      </c>
      <c r="BG113" s="213">
        <f>7.5+(0.125*2)</f>
        <v>7.75</v>
      </c>
      <c r="BH113" s="213">
        <f>6.62+(0.125*4)</f>
        <v>7.12</v>
      </c>
      <c r="BI113" s="51">
        <f t="shared" si="29"/>
        <v>0.32731192129629633</v>
      </c>
      <c r="BJ113" s="212">
        <f>(BE113*12)+0.25</f>
        <v>2.83</v>
      </c>
      <c r="BK113" s="212"/>
      <c r="BL113" s="212"/>
      <c r="BM113" s="114" t="s">
        <v>764</v>
      </c>
      <c r="BN113" s="114">
        <v>12</v>
      </c>
      <c r="BO113" s="114">
        <v>22</v>
      </c>
      <c r="BP113" s="114">
        <v>6</v>
      </c>
      <c r="BQ113" s="192">
        <f t="shared" si="22"/>
        <v>1584</v>
      </c>
      <c r="BR113" s="192">
        <f>(BJ113*BO113*BP113)+50</f>
        <v>423.56000000000006</v>
      </c>
      <c r="BS113" s="114" t="s">
        <v>886</v>
      </c>
      <c r="BT113" s="192" t="s">
        <v>766</v>
      </c>
      <c r="BU113" s="81"/>
      <c r="BV113" s="81"/>
      <c r="BW113" s="81"/>
    </row>
    <row r="114" spans="1:83" s="1" customFormat="1" x14ac:dyDescent="0.25">
      <c r="A114" s="184">
        <v>42264</v>
      </c>
      <c r="B114" s="114" t="s">
        <v>14</v>
      </c>
      <c r="C114" s="31" t="s">
        <v>1052</v>
      </c>
      <c r="D114" s="114" t="s">
        <v>735</v>
      </c>
      <c r="E114" s="208" t="s">
        <v>1125</v>
      </c>
      <c r="F114" s="26" t="s">
        <v>1142</v>
      </c>
      <c r="G114" s="114" t="s">
        <v>759</v>
      </c>
      <c r="H114" s="26" t="s">
        <v>1143</v>
      </c>
      <c r="I114" s="223" t="s">
        <v>759</v>
      </c>
      <c r="J114" s="224" t="s">
        <v>1144</v>
      </c>
      <c r="K114" s="25"/>
      <c r="L114" s="26"/>
      <c r="M114" s="26"/>
      <c r="N114" s="26"/>
      <c r="O114" s="34"/>
      <c r="P114" s="34"/>
      <c r="Q114" s="34"/>
      <c r="R114" s="34"/>
      <c r="S114" s="34"/>
      <c r="T114" s="34"/>
      <c r="U114" s="25"/>
      <c r="V114" s="33"/>
      <c r="W114" s="25"/>
      <c r="X114" s="33"/>
      <c r="Y114" s="31"/>
      <c r="Z114" s="33"/>
      <c r="AA114" s="25"/>
      <c r="AB114" s="41" t="s">
        <v>1145</v>
      </c>
      <c r="AC114" s="114"/>
      <c r="AD114" s="41"/>
      <c r="AE114" s="114"/>
      <c r="AF114" s="114"/>
      <c r="AG114" s="114"/>
      <c r="AH114" s="114"/>
      <c r="AI114" s="114"/>
      <c r="AJ114" s="114"/>
      <c r="AK114" s="114"/>
      <c r="AL114" s="31" t="s">
        <v>1146</v>
      </c>
      <c r="AM114" s="114"/>
      <c r="AN114" s="114"/>
      <c r="AO114" s="114"/>
      <c r="AP114" s="114"/>
      <c r="AQ114" s="25">
        <v>57010</v>
      </c>
      <c r="AR114" s="209">
        <v>17.18</v>
      </c>
      <c r="AS114" s="210" t="s">
        <v>1055</v>
      </c>
      <c r="AT114" s="211">
        <v>10038568743067</v>
      </c>
      <c r="AU114" s="187"/>
      <c r="AV114" s="187"/>
      <c r="AW114" s="187"/>
      <c r="AX114" s="203">
        <v>2.5590000000000002</v>
      </c>
      <c r="AY114" s="203">
        <v>4.0549999999999997</v>
      </c>
      <c r="AZ114" s="187"/>
      <c r="BA114" s="189">
        <f>2.755+(0.018*2)</f>
        <v>2.7909999999999999</v>
      </c>
      <c r="BB114" s="189">
        <f>2.755+(0.018*2)</f>
        <v>2.7909999999999999</v>
      </c>
      <c r="BC114" s="189">
        <f>4.842+(0.018*4)</f>
        <v>4.9139999999999997</v>
      </c>
      <c r="BD114" s="51">
        <f>(BC114*BB114*BA114)/1728</f>
        <v>2.2151905343749997E-2</v>
      </c>
      <c r="BE114" s="212">
        <f>0.25+0.1</f>
        <v>0.35</v>
      </c>
      <c r="BF114" s="213">
        <f>11.42+(0.125*2)</f>
        <v>11.67</v>
      </c>
      <c r="BG114" s="213">
        <f>8.66+(0.125*2)</f>
        <v>8.91</v>
      </c>
      <c r="BH114" s="213">
        <f>5.43+(0.125*4)</f>
        <v>5.93</v>
      </c>
      <c r="BI114" s="51">
        <f t="shared" si="29"/>
        <v>0.35682848437499998</v>
      </c>
      <c r="BJ114" s="212">
        <f>(BE114*12)+0.25</f>
        <v>4.4499999999999993</v>
      </c>
      <c r="BK114" s="212"/>
      <c r="BL114" s="212"/>
      <c r="BM114" s="31" t="s">
        <v>764</v>
      </c>
      <c r="BN114" s="114">
        <v>12</v>
      </c>
      <c r="BO114" s="114">
        <v>17</v>
      </c>
      <c r="BP114" s="114">
        <v>7</v>
      </c>
      <c r="BQ114" s="192">
        <f t="shared" si="22"/>
        <v>1428</v>
      </c>
      <c r="BR114" s="192">
        <f>(BJ114*BO114*BP114)+50</f>
        <v>579.54999999999995</v>
      </c>
      <c r="BS114" s="114" t="s">
        <v>951</v>
      </c>
      <c r="BT114" s="192" t="s">
        <v>766</v>
      </c>
      <c r="BU114" s="81"/>
      <c r="BV114" s="35"/>
      <c r="BW114" s="35"/>
    </row>
    <row r="115" spans="1:83" s="1" customFormat="1" x14ac:dyDescent="0.25">
      <c r="A115" s="184">
        <v>42264</v>
      </c>
      <c r="B115" s="114" t="s">
        <v>14</v>
      </c>
      <c r="C115" s="31" t="s">
        <v>1147</v>
      </c>
      <c r="D115" s="114" t="s">
        <v>60</v>
      </c>
      <c r="E115" s="208" t="s">
        <v>1125</v>
      </c>
      <c r="F115" s="26" t="s">
        <v>1148</v>
      </c>
      <c r="G115" s="114" t="s">
        <v>1149</v>
      </c>
      <c r="H115" s="26" t="s">
        <v>1150</v>
      </c>
      <c r="I115" s="114"/>
      <c r="J115" s="114"/>
      <c r="K115" s="25"/>
      <c r="L115" s="26"/>
      <c r="M115" s="26"/>
      <c r="N115" s="26"/>
      <c r="O115" s="34"/>
      <c r="P115" s="34"/>
      <c r="Q115" s="34"/>
      <c r="R115" s="34"/>
      <c r="S115" s="34"/>
      <c r="T115" s="34"/>
      <c r="U115" s="25" t="s">
        <v>1151</v>
      </c>
      <c r="V115" s="33"/>
      <c r="W115" s="25"/>
      <c r="X115" s="33"/>
      <c r="Y115" s="31"/>
      <c r="Z115" s="33"/>
      <c r="AA115" s="25" t="s">
        <v>1152</v>
      </c>
      <c r="AB115" s="41" t="s">
        <v>1153</v>
      </c>
      <c r="AC115" s="114"/>
      <c r="AD115" s="41"/>
      <c r="AE115" s="114"/>
      <c r="AF115" s="114"/>
      <c r="AG115" s="114"/>
      <c r="AH115" s="114"/>
      <c r="AI115" s="114"/>
      <c r="AJ115" s="114"/>
      <c r="AK115" s="114"/>
      <c r="AL115" s="31"/>
      <c r="AM115" s="114"/>
      <c r="AN115" s="114"/>
      <c r="AO115" s="114"/>
      <c r="AP115" s="114"/>
      <c r="AQ115" s="25">
        <v>57707</v>
      </c>
      <c r="AR115" s="209">
        <v>35.18</v>
      </c>
      <c r="AS115" s="225" t="s">
        <v>1154</v>
      </c>
      <c r="AT115" s="226">
        <v>10038568741575</v>
      </c>
      <c r="AU115" s="38"/>
      <c r="AV115" s="38"/>
      <c r="AW115" s="38"/>
      <c r="AX115" s="112">
        <v>3.83</v>
      </c>
      <c r="AY115" s="112">
        <v>7</v>
      </c>
      <c r="AZ115" s="112">
        <v>4.7699999999999996</v>
      </c>
      <c r="BA115" s="155">
        <f>3.875+(0.018*2)</f>
        <v>3.911</v>
      </c>
      <c r="BB115" s="155">
        <f>3.875+(0.018*2)</f>
        <v>3.911</v>
      </c>
      <c r="BC115" s="155">
        <f>7.25+(0.018*4)</f>
        <v>7.3220000000000001</v>
      </c>
      <c r="BD115" s="111">
        <f>(BC115*BB115*BA115)/1728</f>
        <v>6.4812924515046291E-2</v>
      </c>
      <c r="BE115" s="227">
        <f>1+0.25</f>
        <v>1.25</v>
      </c>
      <c r="BF115" s="228">
        <f>16.187+(0.125*2)</f>
        <v>16.437000000000001</v>
      </c>
      <c r="BG115" s="228">
        <f>12.187+(0.125*2)</f>
        <v>12.436999999999999</v>
      </c>
      <c r="BH115" s="228">
        <f>7.375+(0.125*4)</f>
        <v>7.875</v>
      </c>
      <c r="BI115" s="111">
        <f t="shared" si="29"/>
        <v>0.93163332226562501</v>
      </c>
      <c r="BJ115" s="227">
        <f>(BE115*12)+0.25</f>
        <v>15.25</v>
      </c>
      <c r="BK115" s="227"/>
      <c r="BL115" s="227"/>
      <c r="BM115" s="82" t="s">
        <v>793</v>
      </c>
      <c r="BN115" s="82">
        <v>12</v>
      </c>
      <c r="BO115" s="82">
        <v>8</v>
      </c>
      <c r="BP115" s="82">
        <v>5</v>
      </c>
      <c r="BQ115" s="27">
        <f t="shared" si="22"/>
        <v>480</v>
      </c>
      <c r="BR115" s="27">
        <f>(BE115*BQ115)+50</f>
        <v>650</v>
      </c>
      <c r="BS115" s="82" t="s">
        <v>886</v>
      </c>
      <c r="BT115" s="27" t="s">
        <v>766</v>
      </c>
      <c r="BU115" s="35"/>
      <c r="BV115" s="35"/>
      <c r="BW115" s="35"/>
    </row>
    <row r="116" spans="1:83" s="249" customFormat="1" x14ac:dyDescent="0.25">
      <c r="A116" s="229">
        <v>42200</v>
      </c>
      <c r="B116" s="229"/>
      <c r="C116" s="230" t="s">
        <v>1155</v>
      </c>
      <c r="D116" s="231" t="s">
        <v>735</v>
      </c>
      <c r="E116" s="232" t="s">
        <v>1068</v>
      </c>
      <c r="F116" s="231" t="s">
        <v>1156</v>
      </c>
      <c r="G116" s="231" t="s">
        <v>754</v>
      </c>
      <c r="H116" s="230">
        <v>13727838804</v>
      </c>
      <c r="I116" s="231"/>
      <c r="J116" s="231"/>
      <c r="K116" s="233"/>
      <c r="L116" s="234"/>
      <c r="M116" s="234"/>
      <c r="N116" s="234"/>
      <c r="O116" s="235"/>
      <c r="P116" s="235"/>
      <c r="Q116" s="235"/>
      <c r="R116" s="235"/>
      <c r="S116" s="235"/>
      <c r="T116" s="235"/>
      <c r="U116" s="233"/>
      <c r="V116" s="236"/>
      <c r="W116" s="233"/>
      <c r="X116" s="236"/>
      <c r="Y116" s="230"/>
      <c r="Z116" s="236"/>
      <c r="AA116" s="233"/>
      <c r="AB116" s="233" t="s">
        <v>1157</v>
      </c>
      <c r="AC116" s="231"/>
      <c r="AD116" s="237"/>
      <c r="AE116" s="231"/>
      <c r="AF116" s="231"/>
      <c r="AG116" s="231"/>
      <c r="AH116" s="231"/>
      <c r="AI116" s="231"/>
      <c r="AJ116" s="231"/>
      <c r="AK116" s="231"/>
      <c r="AL116" s="230" t="s">
        <v>1158</v>
      </c>
      <c r="AM116" s="231"/>
      <c r="AN116" s="231"/>
      <c r="AO116" s="231"/>
      <c r="AP116" s="231"/>
      <c r="AQ116" s="233"/>
      <c r="AR116" s="238">
        <v>59.95</v>
      </c>
      <c r="AS116" s="239" t="s">
        <v>1159</v>
      </c>
      <c r="AT116" s="240">
        <v>10038568742442</v>
      </c>
      <c r="AU116" s="241">
        <v>9.01</v>
      </c>
      <c r="AV116" s="241">
        <v>8.27</v>
      </c>
      <c r="AW116" s="241">
        <v>6.34</v>
      </c>
      <c r="AX116" s="242"/>
      <c r="AY116" s="242"/>
      <c r="AZ116" s="242"/>
      <c r="BA116" s="243">
        <f>9.88+(0.018*2)</f>
        <v>9.9160000000000004</v>
      </c>
      <c r="BB116" s="243">
        <f>9.38+(0.018*2)</f>
        <v>9.4160000000000004</v>
      </c>
      <c r="BC116" s="243">
        <f>6.88+(0.018*4)</f>
        <v>6.952</v>
      </c>
      <c r="BD116" s="244">
        <f t="shared" ref="BD116:BD125" si="32">(BC116*BB116*BA116)/1728</f>
        <v>0.37563754474074074</v>
      </c>
      <c r="BE116" s="245">
        <f>0.9+0.1</f>
        <v>1</v>
      </c>
      <c r="BF116" s="246">
        <f>23+(0.125*2)</f>
        <v>23.25</v>
      </c>
      <c r="BG116" s="246">
        <f>10.12+(0.125*2)</f>
        <v>10.37</v>
      </c>
      <c r="BH116" s="246">
        <f>10.12+(0.125*4)</f>
        <v>10.62</v>
      </c>
      <c r="BI116" s="244">
        <f>(BH116*BG116*BF116)/1728</f>
        <v>1.4817757812499996</v>
      </c>
      <c r="BJ116" s="245">
        <f>(BE116*3)+0.25</f>
        <v>3.25</v>
      </c>
      <c r="BK116" s="245"/>
      <c r="BL116" s="245"/>
      <c r="BM116" s="231" t="s">
        <v>793</v>
      </c>
      <c r="BN116" s="231">
        <v>3</v>
      </c>
      <c r="BO116" s="231">
        <v>6</v>
      </c>
      <c r="BP116" s="231">
        <v>4</v>
      </c>
      <c r="BQ116" s="247">
        <f>BN116*BO116*BP116</f>
        <v>72</v>
      </c>
      <c r="BR116" s="247">
        <f t="shared" ref="BR116:BR123" si="33">(BJ116*BO116*BP116)+50</f>
        <v>128</v>
      </c>
      <c r="BS116" s="231" t="s">
        <v>1160</v>
      </c>
      <c r="BT116" s="247" t="s">
        <v>766</v>
      </c>
      <c r="BU116" s="248"/>
      <c r="BV116" s="248"/>
      <c r="BW116" s="248"/>
      <c r="BX116" s="1"/>
      <c r="BY116" s="1"/>
      <c r="BZ116" s="1"/>
      <c r="CA116" s="1"/>
      <c r="CB116" s="1"/>
      <c r="CC116" s="1"/>
      <c r="CD116" s="1"/>
      <c r="CE116" s="1"/>
    </row>
    <row r="117" spans="1:83" s="249" customFormat="1" x14ac:dyDescent="0.25">
      <c r="A117" s="184">
        <v>42200</v>
      </c>
      <c r="B117" s="184"/>
      <c r="C117" s="250" t="s">
        <v>1161</v>
      </c>
      <c r="D117" s="251" t="s">
        <v>735</v>
      </c>
      <c r="E117" s="252" t="s">
        <v>1125</v>
      </c>
      <c r="F117" s="253" t="s">
        <v>1162</v>
      </c>
      <c r="G117" s="251" t="s">
        <v>908</v>
      </c>
      <c r="H117" s="250" t="s">
        <v>1163</v>
      </c>
      <c r="I117" s="251"/>
      <c r="J117" s="251"/>
      <c r="K117" s="25"/>
      <c r="L117" s="26"/>
      <c r="M117" s="26"/>
      <c r="N117" s="26"/>
      <c r="O117" s="254"/>
      <c r="P117" s="254"/>
      <c r="Q117" s="254"/>
      <c r="R117" s="254"/>
      <c r="S117" s="254"/>
      <c r="T117" s="254"/>
      <c r="U117" s="25"/>
      <c r="V117" s="33"/>
      <c r="W117" s="25"/>
      <c r="X117" s="33"/>
      <c r="Y117" s="250"/>
      <c r="Z117" s="33"/>
      <c r="AA117" s="25"/>
      <c r="AB117" s="41"/>
      <c r="AC117" s="251"/>
      <c r="AD117" s="41"/>
      <c r="AE117" s="251"/>
      <c r="AF117" s="251"/>
      <c r="AG117" s="251"/>
      <c r="AH117" s="251"/>
      <c r="AI117" s="251"/>
      <c r="AJ117" s="251"/>
      <c r="AK117" s="251"/>
      <c r="AL117" s="250"/>
      <c r="AM117" s="251"/>
      <c r="AN117" s="251"/>
      <c r="AO117" s="251"/>
      <c r="AP117" s="251"/>
      <c r="AQ117" s="25" t="s">
        <v>1081</v>
      </c>
      <c r="AR117" s="255">
        <v>20.39</v>
      </c>
      <c r="AS117" s="256" t="s">
        <v>1164</v>
      </c>
      <c r="AT117" s="257">
        <v>10038568743005</v>
      </c>
      <c r="AU117" s="38"/>
      <c r="AV117" s="38"/>
      <c r="AW117" s="38"/>
      <c r="AX117" s="112">
        <v>2.99</v>
      </c>
      <c r="AY117" s="112">
        <v>5.0199999999999996</v>
      </c>
      <c r="AZ117" s="38"/>
      <c r="BA117" s="113">
        <f>3.346+(0.018*2)</f>
        <v>3.3820000000000001</v>
      </c>
      <c r="BB117" s="113">
        <f>3.346+(0.018*2)</f>
        <v>3.3820000000000001</v>
      </c>
      <c r="BC117" s="113">
        <f>5.511+(0.018*4)</f>
        <v>5.5830000000000002</v>
      </c>
      <c r="BD117" s="111">
        <f t="shared" si="32"/>
        <v>3.6954820423611118E-2</v>
      </c>
      <c r="BE117" s="258">
        <f>0.25+0.1</f>
        <v>0.35</v>
      </c>
      <c r="BF117" s="259">
        <f>13.75+(0.125*2)</f>
        <v>14</v>
      </c>
      <c r="BG117" s="259">
        <f>10.25+(0.125*2)</f>
        <v>10.5</v>
      </c>
      <c r="BH117" s="259">
        <f>5.75+(0.125*4)</f>
        <v>6.25</v>
      </c>
      <c r="BI117" s="111">
        <f t="shared" ref="BI117:BI123" si="34">(BH117*BG117*BF117)/1728</f>
        <v>0.53168402777777779</v>
      </c>
      <c r="BJ117" s="258">
        <f>(BE117*12)+0.25</f>
        <v>4.4499999999999993</v>
      </c>
      <c r="BK117" s="258"/>
      <c r="BL117" s="258"/>
      <c r="BM117" s="251" t="s">
        <v>764</v>
      </c>
      <c r="BN117" s="251">
        <v>12</v>
      </c>
      <c r="BO117" s="251">
        <v>11</v>
      </c>
      <c r="BP117" s="251">
        <v>7</v>
      </c>
      <c r="BQ117" s="27">
        <f t="shared" ref="BQ117:BQ123" si="35">BN117*BO117*BP117</f>
        <v>924</v>
      </c>
      <c r="BR117" s="27">
        <f t="shared" si="33"/>
        <v>392.64999999999992</v>
      </c>
      <c r="BS117" s="251" t="s">
        <v>946</v>
      </c>
      <c r="BT117" s="27" t="s">
        <v>766</v>
      </c>
      <c r="BU117" s="248"/>
      <c r="BV117" s="248"/>
      <c r="BW117" s="248"/>
      <c r="BX117" s="1"/>
      <c r="BY117" s="1"/>
      <c r="BZ117" s="1"/>
      <c r="CA117" s="1"/>
      <c r="CB117" s="1"/>
      <c r="CC117" s="1"/>
      <c r="CD117" s="1"/>
      <c r="CE117" s="1"/>
    </row>
    <row r="118" spans="1:83" s="249" customFormat="1" x14ac:dyDescent="0.25">
      <c r="A118" s="184">
        <v>42200</v>
      </c>
      <c r="B118" s="184"/>
      <c r="C118" s="250" t="s">
        <v>1165</v>
      </c>
      <c r="D118" s="251" t="s">
        <v>735</v>
      </c>
      <c r="E118" s="252" t="s">
        <v>1125</v>
      </c>
      <c r="F118" s="253" t="s">
        <v>1166</v>
      </c>
      <c r="G118" s="251" t="s">
        <v>759</v>
      </c>
      <c r="H118" s="250">
        <v>1803009</v>
      </c>
      <c r="I118" s="251"/>
      <c r="J118" s="251"/>
      <c r="K118" s="25"/>
      <c r="L118" s="26"/>
      <c r="M118" s="26"/>
      <c r="N118" s="26"/>
      <c r="O118" s="254"/>
      <c r="P118" s="254"/>
      <c r="Q118" s="254"/>
      <c r="R118" s="254"/>
      <c r="S118" s="254"/>
      <c r="T118" s="254"/>
      <c r="U118" s="25"/>
      <c r="V118" s="33"/>
      <c r="W118" s="25"/>
      <c r="X118" s="33"/>
      <c r="Y118" s="250"/>
      <c r="Z118" s="33"/>
      <c r="AA118" s="25"/>
      <c r="AB118" s="41" t="s">
        <v>1145</v>
      </c>
      <c r="AC118" s="251"/>
      <c r="AD118" s="41"/>
      <c r="AE118" s="251"/>
      <c r="AF118" s="251"/>
      <c r="AG118" s="251"/>
      <c r="AH118" s="251"/>
      <c r="AI118" s="251"/>
      <c r="AJ118" s="251"/>
      <c r="AK118" s="251"/>
      <c r="AL118" s="250" t="s">
        <v>1146</v>
      </c>
      <c r="AM118" s="251"/>
      <c r="AN118" s="251"/>
      <c r="AO118" s="251"/>
      <c r="AP118" s="251"/>
      <c r="AQ118" s="25">
        <v>57010</v>
      </c>
      <c r="AR118" s="255">
        <v>30.39</v>
      </c>
      <c r="AS118" s="256" t="s">
        <v>1167</v>
      </c>
      <c r="AT118" s="257">
        <v>10038568743029</v>
      </c>
      <c r="AU118" s="38"/>
      <c r="AV118" s="38"/>
      <c r="AW118" s="38"/>
      <c r="AX118" s="112">
        <v>4.99</v>
      </c>
      <c r="AY118" s="112">
        <v>2.87</v>
      </c>
      <c r="AZ118" s="38"/>
      <c r="BA118" s="113">
        <f>3.812+(0.018*2)</f>
        <v>3.8479999999999999</v>
      </c>
      <c r="BB118" s="113">
        <f>3.812+(0.018*2)</f>
        <v>3.8479999999999999</v>
      </c>
      <c r="BC118" s="113">
        <f>5.375+(0.018*4)</f>
        <v>5.4470000000000001</v>
      </c>
      <c r="BD118" s="111">
        <f t="shared" si="32"/>
        <v>4.6674939518518511E-2</v>
      </c>
      <c r="BE118" s="258">
        <f>0.215+0.1</f>
        <v>0.315</v>
      </c>
      <c r="BF118" s="259">
        <f>11.625+(0.125*2)</f>
        <v>11.875</v>
      </c>
      <c r="BG118" s="259">
        <f>5.562+(0.125*2)</f>
        <v>5.8120000000000003</v>
      </c>
      <c r="BH118" s="259">
        <f>15.5+(0.125*4)</f>
        <v>16</v>
      </c>
      <c r="BI118" s="111">
        <f t="shared" si="34"/>
        <v>0.63905092592592594</v>
      </c>
      <c r="BJ118" s="258">
        <f>(BE118*3)+0.25</f>
        <v>1.1950000000000001</v>
      </c>
      <c r="BK118" s="258"/>
      <c r="BL118" s="258"/>
      <c r="BM118" s="251" t="s">
        <v>793</v>
      </c>
      <c r="BN118" s="251">
        <v>12</v>
      </c>
      <c r="BO118" s="251">
        <v>10</v>
      </c>
      <c r="BP118" s="251">
        <v>5</v>
      </c>
      <c r="BQ118" s="27">
        <f t="shared" si="35"/>
        <v>600</v>
      </c>
      <c r="BR118" s="27">
        <f t="shared" si="33"/>
        <v>109.75</v>
      </c>
      <c r="BS118" s="251" t="s">
        <v>1160</v>
      </c>
      <c r="BT118" s="27" t="s">
        <v>766</v>
      </c>
      <c r="BU118" s="248"/>
      <c r="BV118" s="248"/>
      <c r="BW118" s="248"/>
      <c r="BX118" s="1"/>
      <c r="BY118" s="1"/>
      <c r="BZ118" s="1"/>
      <c r="CA118" s="1"/>
      <c r="CB118" s="1"/>
      <c r="CC118" s="1"/>
      <c r="CD118" s="1"/>
      <c r="CE118" s="1"/>
    </row>
    <row r="119" spans="1:83" s="249" customFormat="1" x14ac:dyDescent="0.25">
      <c r="A119" s="184">
        <v>42160</v>
      </c>
      <c r="B119" s="184"/>
      <c r="C119" s="250" t="s">
        <v>1168</v>
      </c>
      <c r="D119" s="251" t="s">
        <v>735</v>
      </c>
      <c r="E119" s="252" t="s">
        <v>1068</v>
      </c>
      <c r="F119" s="253" t="s">
        <v>1169</v>
      </c>
      <c r="G119" s="251" t="s">
        <v>1170</v>
      </c>
      <c r="H119" s="250" t="s">
        <v>1171</v>
      </c>
      <c r="I119" s="251"/>
      <c r="J119" s="251"/>
      <c r="K119" s="25"/>
      <c r="L119" s="26"/>
      <c r="M119" s="26"/>
      <c r="N119" s="26"/>
      <c r="O119" s="254"/>
      <c r="P119" s="254"/>
      <c r="Q119" s="254"/>
      <c r="R119" s="254"/>
      <c r="S119" s="254"/>
      <c r="T119" s="254"/>
      <c r="U119" s="25"/>
      <c r="V119" s="33"/>
      <c r="W119" s="25">
        <v>83240</v>
      </c>
      <c r="X119" s="33"/>
      <c r="Y119" s="250"/>
      <c r="Z119" s="33"/>
      <c r="AA119" s="25"/>
      <c r="AB119" s="25" t="s">
        <v>1172</v>
      </c>
      <c r="AC119" s="251" t="s">
        <v>1173</v>
      </c>
      <c r="AD119" s="41"/>
      <c r="AE119" s="251" t="s">
        <v>1174</v>
      </c>
      <c r="AF119" s="251"/>
      <c r="AG119" s="251"/>
      <c r="AH119" s="251"/>
      <c r="AI119" s="251"/>
      <c r="AJ119" s="251"/>
      <c r="AK119" s="251">
        <v>9240</v>
      </c>
      <c r="AL119" s="250" t="s">
        <v>1175</v>
      </c>
      <c r="AM119" s="251"/>
      <c r="AN119" s="251"/>
      <c r="AO119" s="251"/>
      <c r="AP119" s="251"/>
      <c r="AQ119" s="25">
        <v>49240</v>
      </c>
      <c r="AR119" s="255">
        <v>29.14</v>
      </c>
      <c r="AS119" s="256" t="s">
        <v>1176</v>
      </c>
      <c r="AT119" s="257">
        <v>10038568742466</v>
      </c>
      <c r="AU119" s="112">
        <v>9.17</v>
      </c>
      <c r="AV119" s="112">
        <v>9</v>
      </c>
      <c r="AW119" s="112">
        <v>2.48</v>
      </c>
      <c r="AX119" s="38"/>
      <c r="AY119" s="38"/>
      <c r="AZ119" s="38"/>
      <c r="BA119" s="113">
        <f>9.87+(0.018*2)</f>
        <v>9.9059999999999988</v>
      </c>
      <c r="BB119" s="113">
        <f>3.75+(0.018*2)</f>
        <v>3.786</v>
      </c>
      <c r="BC119" s="113">
        <f>9.87+(0.018*4)</f>
        <v>9.9419999999999984</v>
      </c>
      <c r="BD119" s="111">
        <f t="shared" si="32"/>
        <v>0.21577888962499994</v>
      </c>
      <c r="BE119" s="113">
        <f>0.591+0.1</f>
        <v>0.69099999999999995</v>
      </c>
      <c r="BF119" s="259">
        <f>11.75+(0.125*2)</f>
        <v>12</v>
      </c>
      <c r="BG119" s="259">
        <f>10.12+(0.125*2)</f>
        <v>10.37</v>
      </c>
      <c r="BH119" s="259">
        <f>10.12+(0.125*4)</f>
        <v>10.62</v>
      </c>
      <c r="BI119" s="111">
        <f t="shared" si="34"/>
        <v>0.76478749999999995</v>
      </c>
      <c r="BJ119" s="113">
        <f>(BE119*3)+0.25</f>
        <v>2.323</v>
      </c>
      <c r="BK119" s="341"/>
      <c r="BL119" s="341"/>
      <c r="BM119" s="251" t="s">
        <v>793</v>
      </c>
      <c r="BN119" s="251">
        <v>3</v>
      </c>
      <c r="BO119" s="251">
        <v>12</v>
      </c>
      <c r="BP119" s="251">
        <v>4</v>
      </c>
      <c r="BQ119" s="27">
        <f t="shared" si="35"/>
        <v>144</v>
      </c>
      <c r="BR119" s="27">
        <f t="shared" si="33"/>
        <v>161.50399999999999</v>
      </c>
      <c r="BS119" s="251" t="s">
        <v>765</v>
      </c>
      <c r="BT119" s="27" t="s">
        <v>766</v>
      </c>
      <c r="BU119" s="248"/>
      <c r="BV119" s="248"/>
      <c r="BW119" s="248"/>
      <c r="BX119" s="1"/>
      <c r="BY119" s="1"/>
      <c r="BZ119" s="1"/>
      <c r="CA119" s="1"/>
      <c r="CB119" s="1"/>
      <c r="CC119" s="1"/>
      <c r="CD119" s="1"/>
      <c r="CE119" s="1"/>
    </row>
    <row r="120" spans="1:83" s="249" customFormat="1" x14ac:dyDescent="0.25">
      <c r="A120" s="184">
        <v>42160</v>
      </c>
      <c r="B120" s="184"/>
      <c r="C120" s="250" t="s">
        <v>1177</v>
      </c>
      <c r="D120" s="251" t="s">
        <v>735</v>
      </c>
      <c r="E120" s="252" t="s">
        <v>1068</v>
      </c>
      <c r="F120" s="253" t="s">
        <v>1178</v>
      </c>
      <c r="G120" s="251" t="s">
        <v>1048</v>
      </c>
      <c r="H120" s="250" t="s">
        <v>1179</v>
      </c>
      <c r="I120" s="251"/>
      <c r="J120" s="251"/>
      <c r="K120" s="25"/>
      <c r="L120" s="26"/>
      <c r="M120" s="26"/>
      <c r="N120" s="26"/>
      <c r="O120" s="254"/>
      <c r="P120" s="254"/>
      <c r="Q120" s="254"/>
      <c r="R120" s="254"/>
      <c r="S120" s="254"/>
      <c r="T120" s="254"/>
      <c r="U120" s="25"/>
      <c r="V120" s="33"/>
      <c r="W120" s="25">
        <v>93007</v>
      </c>
      <c r="X120" s="33" t="s">
        <v>1177</v>
      </c>
      <c r="Y120" s="250"/>
      <c r="Z120" s="33"/>
      <c r="AA120" s="25"/>
      <c r="AB120" s="25" t="s">
        <v>1180</v>
      </c>
      <c r="AC120" s="251"/>
      <c r="AD120" s="41"/>
      <c r="AE120" s="251"/>
      <c r="AF120" s="251"/>
      <c r="AG120" s="251"/>
      <c r="AH120" s="251" t="s">
        <v>1181</v>
      </c>
      <c r="AI120" s="251" t="s">
        <v>1177</v>
      </c>
      <c r="AJ120" s="251"/>
      <c r="AK120" s="251"/>
      <c r="AL120" s="250"/>
      <c r="AM120" s="251" t="s">
        <v>1182</v>
      </c>
      <c r="AN120" s="251"/>
      <c r="AO120" s="251"/>
      <c r="AP120" s="251"/>
      <c r="AQ120" s="25" t="s">
        <v>1183</v>
      </c>
      <c r="AR120" s="255">
        <v>17.350000000000001</v>
      </c>
      <c r="AS120" s="256" t="s">
        <v>1184</v>
      </c>
      <c r="AT120" s="257">
        <v>10038568742527</v>
      </c>
      <c r="AU120" s="112">
        <v>11.34</v>
      </c>
      <c r="AV120" s="112">
        <v>7.05</v>
      </c>
      <c r="AW120" s="112">
        <v>2.2799999999999998</v>
      </c>
      <c r="AX120" s="38"/>
      <c r="AY120" s="38"/>
      <c r="AZ120" s="38"/>
      <c r="BA120" s="113">
        <f>7+(0.018*2)</f>
        <v>7.0359999999999996</v>
      </c>
      <c r="BB120" s="113">
        <f>2.5+(0.018*2)</f>
        <v>2.536</v>
      </c>
      <c r="BC120" s="113">
        <f>11.75+(0.018*4)</f>
        <v>11.821999999999999</v>
      </c>
      <c r="BD120" s="111">
        <f t="shared" si="32"/>
        <v>0.12207375307407406</v>
      </c>
      <c r="BE120" s="113">
        <f>0.7+0.1</f>
        <v>0.79999999999999993</v>
      </c>
      <c r="BF120" s="259">
        <f>12+(0.125*2)</f>
        <v>12.25</v>
      </c>
      <c r="BG120" s="259">
        <f>7.25+(0.125*2)</f>
        <v>7.5</v>
      </c>
      <c r="BH120" s="259">
        <f>8+(0.125*4)</f>
        <v>8.5</v>
      </c>
      <c r="BI120" s="111">
        <f t="shared" si="34"/>
        <v>0.4519314236111111</v>
      </c>
      <c r="BJ120" s="113">
        <f>(BE120*3)+0.25</f>
        <v>2.65</v>
      </c>
      <c r="BK120" s="341"/>
      <c r="BL120" s="341"/>
      <c r="BM120" s="251" t="s">
        <v>793</v>
      </c>
      <c r="BN120" s="251">
        <v>3</v>
      </c>
      <c r="BO120" s="251">
        <v>13</v>
      </c>
      <c r="BP120" s="251">
        <v>5</v>
      </c>
      <c r="BQ120" s="27">
        <f t="shared" si="35"/>
        <v>195</v>
      </c>
      <c r="BR120" s="27">
        <f t="shared" si="33"/>
        <v>222.24999999999997</v>
      </c>
      <c r="BS120" s="251" t="s">
        <v>769</v>
      </c>
      <c r="BT120" s="27" t="s">
        <v>766</v>
      </c>
      <c r="BU120" s="248"/>
      <c r="BV120" s="248"/>
      <c r="BW120" s="248"/>
      <c r="BX120" s="1"/>
      <c r="BY120" s="1"/>
      <c r="BZ120" s="1"/>
      <c r="CA120" s="1"/>
      <c r="CB120" s="1"/>
      <c r="CC120" s="1"/>
      <c r="CD120" s="1"/>
      <c r="CE120" s="1"/>
    </row>
    <row r="121" spans="1:83" s="249" customFormat="1" x14ac:dyDescent="0.25">
      <c r="A121" s="184">
        <v>42160</v>
      </c>
      <c r="B121" s="184"/>
      <c r="C121" s="250" t="s">
        <v>986</v>
      </c>
      <c r="D121" s="251" t="s">
        <v>735</v>
      </c>
      <c r="E121" s="252" t="s">
        <v>1068</v>
      </c>
      <c r="F121" s="253" t="s">
        <v>1185</v>
      </c>
      <c r="G121" s="251" t="s">
        <v>798</v>
      </c>
      <c r="H121" s="250" t="s">
        <v>1186</v>
      </c>
      <c r="I121" s="251"/>
      <c r="J121" s="251"/>
      <c r="K121" s="25"/>
      <c r="L121" s="26"/>
      <c r="M121" s="26"/>
      <c r="N121" s="26"/>
      <c r="O121" s="254"/>
      <c r="P121" s="254"/>
      <c r="Q121" s="254"/>
      <c r="R121" s="254"/>
      <c r="S121" s="254"/>
      <c r="T121" s="254"/>
      <c r="U121" s="25"/>
      <c r="V121" s="33"/>
      <c r="W121" s="25">
        <v>83074</v>
      </c>
      <c r="X121" s="33" t="s">
        <v>986</v>
      </c>
      <c r="Y121" s="250"/>
      <c r="Z121" s="33"/>
      <c r="AA121" s="25"/>
      <c r="AB121" s="41" t="s">
        <v>1187</v>
      </c>
      <c r="AC121" s="251" t="s">
        <v>1188</v>
      </c>
      <c r="AD121" s="41"/>
      <c r="AE121" s="251" t="s">
        <v>1189</v>
      </c>
      <c r="AF121" s="251"/>
      <c r="AG121" s="251"/>
      <c r="AH121" s="251"/>
      <c r="AI121" s="251" t="s">
        <v>986</v>
      </c>
      <c r="AJ121" s="251"/>
      <c r="AK121" s="251">
        <v>9074</v>
      </c>
      <c r="AL121" s="250" t="s">
        <v>1190</v>
      </c>
      <c r="AM121" s="251" t="s">
        <v>1191</v>
      </c>
      <c r="AN121" s="251" t="s">
        <v>1192</v>
      </c>
      <c r="AO121" s="251"/>
      <c r="AP121" s="251" t="s">
        <v>1192</v>
      </c>
      <c r="AQ121" s="25">
        <v>49074</v>
      </c>
      <c r="AR121" s="255">
        <v>14.99</v>
      </c>
      <c r="AS121" s="256" t="s">
        <v>1193</v>
      </c>
      <c r="AT121" s="257">
        <v>10038568742374</v>
      </c>
      <c r="AU121" s="112">
        <v>11.5</v>
      </c>
      <c r="AV121" s="112">
        <v>11.38</v>
      </c>
      <c r="AW121" s="112">
        <v>1.08</v>
      </c>
      <c r="AX121" s="38"/>
      <c r="AY121" s="38"/>
      <c r="AZ121" s="38"/>
      <c r="BA121" s="113">
        <f>11.5+(0.018*2)</f>
        <v>11.536</v>
      </c>
      <c r="BB121" s="113">
        <f>2+(0.018*2)</f>
        <v>2.036</v>
      </c>
      <c r="BC121" s="113">
        <f>11.5+(0.018*4)</f>
        <v>11.571999999999999</v>
      </c>
      <c r="BD121" s="111">
        <f t="shared" si="32"/>
        <v>0.15728876696296296</v>
      </c>
      <c r="BE121" s="113">
        <f>0.661+0.1</f>
        <v>0.76100000000000001</v>
      </c>
      <c r="BF121" s="259">
        <f>16.12+(0.125*2)</f>
        <v>16.37</v>
      </c>
      <c r="BG121" s="259">
        <f>12.25+(0.125*2)</f>
        <v>12.5</v>
      </c>
      <c r="BH121" s="259">
        <f>12.25+(0.125*4)</f>
        <v>12.75</v>
      </c>
      <c r="BI121" s="111">
        <f t="shared" si="34"/>
        <v>1.5098198784722223</v>
      </c>
      <c r="BJ121" s="113">
        <f>(BE121*6)+0.25</f>
        <v>4.8159999999999998</v>
      </c>
      <c r="BK121" s="341"/>
      <c r="BL121" s="341"/>
      <c r="BM121" s="251" t="s">
        <v>793</v>
      </c>
      <c r="BN121" s="251">
        <v>6</v>
      </c>
      <c r="BO121" s="251">
        <v>12</v>
      </c>
      <c r="BP121" s="251">
        <v>3</v>
      </c>
      <c r="BQ121" s="27">
        <f t="shared" si="35"/>
        <v>216</v>
      </c>
      <c r="BR121" s="27">
        <f t="shared" si="33"/>
        <v>223.376</v>
      </c>
      <c r="BS121" s="251" t="s">
        <v>769</v>
      </c>
      <c r="BT121" s="27" t="s">
        <v>766</v>
      </c>
      <c r="BU121" s="248"/>
      <c r="BV121" s="248"/>
      <c r="BW121" s="248"/>
      <c r="BX121" s="1"/>
      <c r="BY121" s="1"/>
      <c r="BZ121" s="1"/>
      <c r="CA121" s="1"/>
      <c r="CB121" s="1"/>
      <c r="CC121" s="1"/>
      <c r="CD121" s="1"/>
      <c r="CE121" s="1"/>
    </row>
    <row r="122" spans="1:83" s="249" customFormat="1" x14ac:dyDescent="0.25">
      <c r="A122" s="184">
        <v>42160</v>
      </c>
      <c r="B122" s="184"/>
      <c r="C122" s="250" t="s">
        <v>1194</v>
      </c>
      <c r="D122" s="251" t="s">
        <v>735</v>
      </c>
      <c r="E122" s="252" t="s">
        <v>1068</v>
      </c>
      <c r="F122" s="253" t="s">
        <v>1195</v>
      </c>
      <c r="G122" s="251" t="s">
        <v>1048</v>
      </c>
      <c r="H122" s="250" t="s">
        <v>1196</v>
      </c>
      <c r="I122" s="251"/>
      <c r="J122" s="251"/>
      <c r="K122" s="25"/>
      <c r="L122" s="26"/>
      <c r="M122" s="26"/>
      <c r="N122" s="26"/>
      <c r="O122" s="254"/>
      <c r="P122" s="254"/>
      <c r="Q122" s="254"/>
      <c r="R122" s="254"/>
      <c r="S122" s="254"/>
      <c r="T122" s="254"/>
      <c r="U122" s="25"/>
      <c r="V122" s="33"/>
      <c r="W122" s="25">
        <v>83593</v>
      </c>
      <c r="X122" s="33"/>
      <c r="Y122" s="250"/>
      <c r="Z122" s="33"/>
      <c r="AA122" s="25"/>
      <c r="AB122" s="41" t="s">
        <v>1197</v>
      </c>
      <c r="AC122" s="251" t="s">
        <v>1198</v>
      </c>
      <c r="AD122" s="41"/>
      <c r="AE122" s="251"/>
      <c r="AF122" s="251"/>
      <c r="AG122" s="251"/>
      <c r="AH122" s="251" t="s">
        <v>1199</v>
      </c>
      <c r="AI122" s="251"/>
      <c r="AJ122" s="251"/>
      <c r="AK122" s="251">
        <v>9593</v>
      </c>
      <c r="AL122" s="250"/>
      <c r="AM122" s="251"/>
      <c r="AN122" s="251"/>
      <c r="AO122" s="251"/>
      <c r="AP122" s="251"/>
      <c r="AQ122" s="25">
        <v>49593</v>
      </c>
      <c r="AR122" s="255">
        <v>39.82</v>
      </c>
      <c r="AS122" s="256" t="s">
        <v>1200</v>
      </c>
      <c r="AT122" s="257">
        <v>10038568742428</v>
      </c>
      <c r="AU122" s="112">
        <v>13.56</v>
      </c>
      <c r="AV122" s="112">
        <v>6.44</v>
      </c>
      <c r="AW122" s="112">
        <v>1.95</v>
      </c>
      <c r="AX122" s="38"/>
      <c r="AY122" s="38"/>
      <c r="AZ122" s="38"/>
      <c r="BA122" s="113">
        <f>6.5+(0.018*2)</f>
        <v>6.5359999999999996</v>
      </c>
      <c r="BB122" s="113">
        <f>1.75+(0.018*2)</f>
        <v>1.786</v>
      </c>
      <c r="BC122" s="113">
        <f>13.25+(0.018*4)</f>
        <v>13.321999999999999</v>
      </c>
      <c r="BD122" s="111">
        <f t="shared" si="32"/>
        <v>8.9995167425925907E-2</v>
      </c>
      <c r="BE122" s="113">
        <f>0.549+0.1</f>
        <v>0.64900000000000002</v>
      </c>
      <c r="BF122" s="259">
        <f>13.75+(0.125*2)</f>
        <v>14</v>
      </c>
      <c r="BG122" s="259">
        <f>7+(0.125*2)</f>
        <v>7.25</v>
      </c>
      <c r="BH122" s="259">
        <f>6+(0.125*4)</f>
        <v>6.5</v>
      </c>
      <c r="BI122" s="111">
        <f t="shared" si="34"/>
        <v>0.38179976851851855</v>
      </c>
      <c r="BJ122" s="113">
        <f>(BE122*3)+0.25</f>
        <v>2.1970000000000001</v>
      </c>
      <c r="BK122" s="341"/>
      <c r="BL122" s="341"/>
      <c r="BM122" s="251" t="s">
        <v>793</v>
      </c>
      <c r="BN122" s="251">
        <v>3</v>
      </c>
      <c r="BO122" s="251">
        <v>15</v>
      </c>
      <c r="BP122" s="251">
        <v>6</v>
      </c>
      <c r="BQ122" s="27">
        <f t="shared" si="35"/>
        <v>270</v>
      </c>
      <c r="BR122" s="27">
        <f t="shared" si="33"/>
        <v>247.73</v>
      </c>
      <c r="BS122" s="251" t="s">
        <v>951</v>
      </c>
      <c r="BT122" s="27" t="s">
        <v>766</v>
      </c>
      <c r="BU122" s="248"/>
      <c r="BV122" s="248"/>
      <c r="BW122" s="248"/>
      <c r="BX122" s="1"/>
      <c r="BY122" s="1"/>
      <c r="BZ122" s="1"/>
      <c r="CA122" s="1"/>
      <c r="CB122" s="1"/>
      <c r="CC122" s="1"/>
      <c r="CD122" s="1"/>
      <c r="CE122" s="1"/>
    </row>
    <row r="123" spans="1:83" s="249" customFormat="1" x14ac:dyDescent="0.25">
      <c r="A123" s="184">
        <v>42160</v>
      </c>
      <c r="B123" s="184"/>
      <c r="C123" s="250" t="s">
        <v>1201</v>
      </c>
      <c r="D123" s="251" t="s">
        <v>735</v>
      </c>
      <c r="E123" s="252" t="s">
        <v>1068</v>
      </c>
      <c r="F123" s="253" t="s">
        <v>1202</v>
      </c>
      <c r="G123" s="251" t="s">
        <v>759</v>
      </c>
      <c r="H123" s="250">
        <v>1560940504</v>
      </c>
      <c r="I123" s="251"/>
      <c r="J123" s="251"/>
      <c r="K123" s="25"/>
      <c r="L123" s="26"/>
      <c r="M123" s="26"/>
      <c r="N123" s="26"/>
      <c r="O123" s="254"/>
      <c r="P123" s="254"/>
      <c r="Q123" s="254"/>
      <c r="R123" s="254"/>
      <c r="S123" s="254"/>
      <c r="T123" s="254"/>
      <c r="U123" s="25"/>
      <c r="V123" s="33"/>
      <c r="W123" s="25">
        <v>83504</v>
      </c>
      <c r="X123" s="33"/>
      <c r="Y123" s="250"/>
      <c r="Z123" s="33"/>
      <c r="AA123" s="25"/>
      <c r="AB123" s="41" t="s">
        <v>1203</v>
      </c>
      <c r="AC123" s="251" t="s">
        <v>1204</v>
      </c>
      <c r="AD123" s="41"/>
      <c r="AE123" s="251" t="s">
        <v>1205</v>
      </c>
      <c r="AF123" s="251"/>
      <c r="AG123" s="251"/>
      <c r="AH123" s="251" t="s">
        <v>1206</v>
      </c>
      <c r="AI123" s="251"/>
      <c r="AJ123" s="251"/>
      <c r="AK123" s="251">
        <v>9504</v>
      </c>
      <c r="AL123" s="250" t="s">
        <v>1207</v>
      </c>
      <c r="AM123" s="251"/>
      <c r="AN123" s="251"/>
      <c r="AO123" s="251"/>
      <c r="AP123" s="251"/>
      <c r="AQ123" s="25">
        <v>49504</v>
      </c>
      <c r="AR123" s="255">
        <v>32.71</v>
      </c>
      <c r="AS123" s="256" t="s">
        <v>1208</v>
      </c>
      <c r="AT123" s="257">
        <v>10038568742503</v>
      </c>
      <c r="AU123" s="112">
        <v>12.32</v>
      </c>
      <c r="AV123" s="112">
        <v>6.2</v>
      </c>
      <c r="AW123" s="112">
        <v>0.98</v>
      </c>
      <c r="AX123" s="38"/>
      <c r="AY123" s="38"/>
      <c r="AZ123" s="38"/>
      <c r="BA123" s="113">
        <f>7+(0.018*2)</f>
        <v>7.0359999999999996</v>
      </c>
      <c r="BB123" s="113">
        <f>2.5+(0.018*2)</f>
        <v>2.536</v>
      </c>
      <c r="BC123" s="113">
        <f>11.75+(0.018*4)</f>
        <v>11.821999999999999</v>
      </c>
      <c r="BD123" s="111">
        <f t="shared" si="32"/>
        <v>0.12207375307407406</v>
      </c>
      <c r="BE123" s="113">
        <f>0.26+0.1</f>
        <v>0.36</v>
      </c>
      <c r="BF123" s="259">
        <f>12+(0.125*2)</f>
        <v>12.25</v>
      </c>
      <c r="BG123" s="259">
        <f>7.25+(0.125*2)</f>
        <v>7.5</v>
      </c>
      <c r="BH123" s="259">
        <f>8+(0.125*4)</f>
        <v>8.5</v>
      </c>
      <c r="BI123" s="111">
        <f t="shared" si="34"/>
        <v>0.4519314236111111</v>
      </c>
      <c r="BJ123" s="113">
        <f>(BE123*3)+0.25</f>
        <v>1.33</v>
      </c>
      <c r="BK123" s="341"/>
      <c r="BL123" s="341"/>
      <c r="BM123" s="251" t="s">
        <v>793</v>
      </c>
      <c r="BN123" s="251">
        <v>3</v>
      </c>
      <c r="BO123" s="251">
        <v>15</v>
      </c>
      <c r="BP123" s="251">
        <v>6</v>
      </c>
      <c r="BQ123" s="27">
        <f t="shared" si="35"/>
        <v>270</v>
      </c>
      <c r="BR123" s="27">
        <f t="shared" si="33"/>
        <v>169.70000000000002</v>
      </c>
      <c r="BS123" s="251" t="s">
        <v>951</v>
      </c>
      <c r="BT123" s="27" t="s">
        <v>766</v>
      </c>
      <c r="BU123" s="248"/>
      <c r="BV123" s="248"/>
      <c r="BW123" s="248"/>
      <c r="BX123" s="1"/>
      <c r="BY123" s="1"/>
      <c r="BZ123" s="1"/>
      <c r="CA123" s="1"/>
      <c r="CB123" s="1"/>
      <c r="CC123" s="1"/>
      <c r="CD123" s="1"/>
      <c r="CE123" s="1"/>
    </row>
    <row r="124" spans="1:83" s="249" customFormat="1" x14ac:dyDescent="0.25">
      <c r="A124" s="184">
        <v>42130</v>
      </c>
      <c r="B124" s="184"/>
      <c r="C124" s="250" t="s">
        <v>1209</v>
      </c>
      <c r="D124" s="252" t="s">
        <v>1210</v>
      </c>
      <c r="E124" s="252" t="s">
        <v>1211</v>
      </c>
      <c r="F124" s="253" t="s">
        <v>1212</v>
      </c>
      <c r="G124" s="251" t="s">
        <v>737</v>
      </c>
      <c r="H124" s="250">
        <v>95021102</v>
      </c>
      <c r="I124" s="251"/>
      <c r="J124" s="251"/>
      <c r="K124" s="25"/>
      <c r="L124" s="26"/>
      <c r="M124" s="26"/>
      <c r="N124" s="26"/>
      <c r="O124" s="254"/>
      <c r="P124" s="254"/>
      <c r="Q124" s="254"/>
      <c r="R124" s="254"/>
      <c r="S124" s="254"/>
      <c r="T124" s="254"/>
      <c r="U124" s="25"/>
      <c r="V124" s="33"/>
      <c r="W124" s="25"/>
      <c r="X124" s="33"/>
      <c r="Y124" s="250"/>
      <c r="Z124" s="33"/>
      <c r="AA124" s="25"/>
      <c r="AB124" s="25" t="s">
        <v>1213</v>
      </c>
      <c r="AC124" s="251"/>
      <c r="AD124" s="41"/>
      <c r="AE124" s="251"/>
      <c r="AF124" s="251"/>
      <c r="AG124" s="251"/>
      <c r="AH124" s="251"/>
      <c r="AI124" s="251"/>
      <c r="AJ124" s="251"/>
      <c r="AK124" s="251"/>
      <c r="AL124" s="250"/>
      <c r="AM124" s="251"/>
      <c r="AN124" s="251"/>
      <c r="AO124" s="251"/>
      <c r="AP124" s="251"/>
      <c r="AQ124" s="25"/>
      <c r="AR124" s="255">
        <v>19.59</v>
      </c>
      <c r="AS124" s="256" t="s">
        <v>1214</v>
      </c>
      <c r="AT124" s="257">
        <v>10038568742404</v>
      </c>
      <c r="AU124" s="112">
        <v>9</v>
      </c>
      <c r="AV124" s="112">
        <v>6.26</v>
      </c>
      <c r="AW124" s="112">
        <v>2.2599999999999998</v>
      </c>
      <c r="AX124" s="38"/>
      <c r="AY124" s="38"/>
      <c r="AZ124" s="38"/>
      <c r="BA124" s="113">
        <f>7+(0.018*2)</f>
        <v>7.0359999999999996</v>
      </c>
      <c r="BB124" s="113">
        <f>2.5+(0.018*2)</f>
        <v>2.536</v>
      </c>
      <c r="BC124" s="113">
        <f>11.75+(0.018*4)</f>
        <v>11.821999999999999</v>
      </c>
      <c r="BD124" s="111">
        <f t="shared" si="32"/>
        <v>0.12207375307407406</v>
      </c>
      <c r="BE124" s="113">
        <f>0.412+0.1</f>
        <v>0.51200000000000001</v>
      </c>
      <c r="BF124" s="259">
        <f>12+(0.125*2)</f>
        <v>12.25</v>
      </c>
      <c r="BG124" s="259">
        <f>7.25+(0.125*2)</f>
        <v>7.5</v>
      </c>
      <c r="BH124" s="259">
        <f>8+(0.125*4)</f>
        <v>8.5</v>
      </c>
      <c r="BI124" s="111">
        <f>(BH124*BG124*BF124)/1728</f>
        <v>0.4519314236111111</v>
      </c>
      <c r="BJ124" s="113">
        <f>(BE124*3)+0.25</f>
        <v>1.786</v>
      </c>
      <c r="BK124" s="341"/>
      <c r="BL124" s="341"/>
      <c r="BM124" s="251" t="s">
        <v>793</v>
      </c>
      <c r="BN124" s="251">
        <v>3</v>
      </c>
      <c r="BO124" s="251">
        <v>20</v>
      </c>
      <c r="BP124" s="251">
        <v>5</v>
      </c>
      <c r="BQ124" s="27">
        <f>BN124*BO124*BP124</f>
        <v>300</v>
      </c>
      <c r="BR124" s="27">
        <f>(BJ124*BO124*BP124)+50</f>
        <v>228.6</v>
      </c>
      <c r="BS124" s="251" t="s">
        <v>765</v>
      </c>
      <c r="BT124" s="27" t="s">
        <v>766</v>
      </c>
      <c r="BU124" s="248"/>
      <c r="BV124" s="248"/>
      <c r="BW124" s="248"/>
      <c r="BX124" s="1"/>
      <c r="BY124" s="1"/>
      <c r="BZ124" s="1"/>
      <c r="CA124" s="1"/>
      <c r="CB124" s="1"/>
      <c r="CC124" s="1"/>
      <c r="CD124" s="1"/>
      <c r="CE124" s="1"/>
    </row>
    <row r="125" spans="1:83" s="249" customFormat="1" x14ac:dyDescent="0.25">
      <c r="A125" s="184">
        <v>42130</v>
      </c>
      <c r="B125" s="184"/>
      <c r="C125" s="250" t="s">
        <v>1215</v>
      </c>
      <c r="D125" s="252" t="s">
        <v>1210</v>
      </c>
      <c r="E125" s="252" t="s">
        <v>1211</v>
      </c>
      <c r="F125" s="253" t="s">
        <v>1216</v>
      </c>
      <c r="G125" s="251" t="s">
        <v>899</v>
      </c>
      <c r="H125" s="250" t="s">
        <v>1217</v>
      </c>
      <c r="I125" s="251"/>
      <c r="J125" s="251"/>
      <c r="K125" s="25"/>
      <c r="L125" s="26"/>
      <c r="M125" s="26"/>
      <c r="N125" s="26"/>
      <c r="O125" s="254"/>
      <c r="P125" s="254"/>
      <c r="Q125" s="254"/>
      <c r="R125" s="254"/>
      <c r="S125" s="254"/>
      <c r="T125" s="254"/>
      <c r="U125" s="25"/>
      <c r="V125" s="33"/>
      <c r="W125" s="25"/>
      <c r="X125" s="33"/>
      <c r="Y125" s="250"/>
      <c r="Z125" s="33"/>
      <c r="AA125" s="25"/>
      <c r="AB125" s="25" t="s">
        <v>1218</v>
      </c>
      <c r="AC125" s="251"/>
      <c r="AD125" s="41"/>
      <c r="AE125" s="251"/>
      <c r="AF125" s="251"/>
      <c r="AG125" s="251"/>
      <c r="AH125" s="251"/>
      <c r="AI125" s="251"/>
      <c r="AJ125" s="251"/>
      <c r="AK125" s="251"/>
      <c r="AL125" s="250"/>
      <c r="AM125" s="251"/>
      <c r="AN125" s="251"/>
      <c r="AO125" s="251"/>
      <c r="AP125" s="251"/>
      <c r="AQ125" s="25"/>
      <c r="AR125" s="255">
        <v>19.86</v>
      </c>
      <c r="AS125" s="256" t="s">
        <v>1219</v>
      </c>
      <c r="AT125" s="257">
        <v>10038568742336</v>
      </c>
      <c r="AU125" s="112">
        <v>11.67</v>
      </c>
      <c r="AV125" s="112">
        <v>6.48</v>
      </c>
      <c r="AW125" s="112">
        <v>2.09</v>
      </c>
      <c r="AX125" s="38"/>
      <c r="AY125" s="38"/>
      <c r="AZ125" s="38"/>
      <c r="BA125" s="113">
        <f>7+(0.018*2)</f>
        <v>7.0359999999999996</v>
      </c>
      <c r="BB125" s="113">
        <f>2.5+(0.018*2)</f>
        <v>2.536</v>
      </c>
      <c r="BC125" s="113">
        <f>11.75+(0.018*4)</f>
        <v>11.821999999999999</v>
      </c>
      <c r="BD125" s="111">
        <f t="shared" si="32"/>
        <v>0.12207375307407406</v>
      </c>
      <c r="BE125" s="113">
        <f>0.7+0.1</f>
        <v>0.79999999999999993</v>
      </c>
      <c r="BF125" s="259">
        <f>12+(0.125*2)</f>
        <v>12.25</v>
      </c>
      <c r="BG125" s="259">
        <f>7.25+(0.125*2)</f>
        <v>7.5</v>
      </c>
      <c r="BH125" s="259">
        <f>8+(0.125*4)</f>
        <v>8.5</v>
      </c>
      <c r="BI125" s="111">
        <f>(BH125*BG125*BF125)/1728</f>
        <v>0.4519314236111111</v>
      </c>
      <c r="BJ125" s="113">
        <f>(BE125*3)+0.25</f>
        <v>2.65</v>
      </c>
      <c r="BK125" s="341"/>
      <c r="BL125" s="341"/>
      <c r="BM125" s="251" t="s">
        <v>793</v>
      </c>
      <c r="BN125" s="251">
        <v>3</v>
      </c>
      <c r="BO125" s="251">
        <v>20</v>
      </c>
      <c r="BP125" s="251">
        <v>5</v>
      </c>
      <c r="BQ125" s="27">
        <f>BN125*BO125*BP125</f>
        <v>300</v>
      </c>
      <c r="BR125" s="27">
        <f>(BJ125*BO125*BP125)+50</f>
        <v>315</v>
      </c>
      <c r="BS125" s="251" t="s">
        <v>951</v>
      </c>
      <c r="BT125" s="27" t="s">
        <v>766</v>
      </c>
      <c r="BU125" s="248"/>
      <c r="BV125" s="248"/>
      <c r="BW125" s="248"/>
      <c r="BX125" s="1"/>
      <c r="BY125" s="1"/>
      <c r="BZ125" s="1"/>
      <c r="CA125" s="1"/>
      <c r="CB125" s="1"/>
      <c r="CC125" s="1"/>
      <c r="CD125" s="1"/>
      <c r="CE125" s="1"/>
    </row>
    <row r="126" spans="1:83" s="249" customFormat="1" ht="45" x14ac:dyDescent="0.25">
      <c r="A126" s="184">
        <v>42130</v>
      </c>
      <c r="B126" s="184"/>
      <c r="C126" s="250" t="s">
        <v>1220</v>
      </c>
      <c r="D126" s="252" t="s">
        <v>60</v>
      </c>
      <c r="E126" s="252" t="s">
        <v>1221</v>
      </c>
      <c r="F126" s="260" t="s">
        <v>1222</v>
      </c>
      <c r="G126" s="251"/>
      <c r="H126" s="250"/>
      <c r="I126" s="251"/>
      <c r="J126" s="251"/>
      <c r="K126" s="25"/>
      <c r="L126" s="26"/>
      <c r="M126" s="26"/>
      <c r="N126" s="26"/>
      <c r="O126" s="254"/>
      <c r="P126" s="254"/>
      <c r="Q126" s="254"/>
      <c r="R126" s="254"/>
      <c r="S126" s="254"/>
      <c r="T126" s="254"/>
      <c r="U126" s="25"/>
      <c r="V126" s="33"/>
      <c r="W126" s="25"/>
      <c r="X126" s="33"/>
      <c r="Y126" s="250"/>
      <c r="Z126" s="33"/>
      <c r="AA126" s="25"/>
      <c r="AB126" s="41"/>
      <c r="AC126" s="251"/>
      <c r="AD126" s="41"/>
      <c r="AE126" s="251"/>
      <c r="AF126" s="251"/>
      <c r="AG126" s="251"/>
      <c r="AH126" s="251"/>
      <c r="AI126" s="251"/>
      <c r="AJ126" s="251"/>
      <c r="AK126" s="251"/>
      <c r="AL126" s="250"/>
      <c r="AM126" s="251"/>
      <c r="AN126" s="251"/>
      <c r="AO126" s="251"/>
      <c r="AP126" s="251"/>
      <c r="AQ126" s="25"/>
      <c r="AR126" s="255">
        <v>109.42</v>
      </c>
      <c r="AS126" s="256" t="s">
        <v>1223</v>
      </c>
      <c r="AT126" s="257">
        <v>10038568742909</v>
      </c>
      <c r="AU126" s="38"/>
      <c r="AV126" s="38"/>
      <c r="AW126" s="38"/>
      <c r="AX126" s="38"/>
      <c r="AY126" s="38"/>
      <c r="AZ126" s="38"/>
      <c r="BA126" s="399" t="s">
        <v>985</v>
      </c>
      <c r="BB126" s="399"/>
      <c r="BC126" s="399"/>
      <c r="BD126" s="399"/>
      <c r="BE126" s="399"/>
      <c r="BF126" s="259">
        <f>12.75+(0.125*2)</f>
        <v>13</v>
      </c>
      <c r="BG126" s="259">
        <f>8.62+(0.125*2)</f>
        <v>8.8699999999999992</v>
      </c>
      <c r="BH126" s="259">
        <f>11.5+(0.125*4)</f>
        <v>12</v>
      </c>
      <c r="BI126" s="111">
        <f t="shared" ref="BI126" si="36">(BH126*BG126*BF126)/1728</f>
        <v>0.80076388888888894</v>
      </c>
      <c r="BJ126" s="113">
        <f>11.78+0.25</f>
        <v>12.03</v>
      </c>
      <c r="BK126" s="341"/>
      <c r="BL126" s="341"/>
      <c r="BM126" s="251" t="s">
        <v>793</v>
      </c>
      <c r="BN126" s="251">
        <v>1</v>
      </c>
      <c r="BO126" s="251">
        <v>15</v>
      </c>
      <c r="BP126" s="251">
        <v>3</v>
      </c>
      <c r="BQ126" s="27">
        <f t="shared" ref="BQ126" si="37">BN126*BO126*BP126</f>
        <v>45</v>
      </c>
      <c r="BR126" s="27">
        <f t="shared" ref="BR126" si="38">(BJ126*BO126*BP126)+50</f>
        <v>591.34999999999991</v>
      </c>
      <c r="BS126" s="253" t="s">
        <v>1224</v>
      </c>
      <c r="BT126" s="27" t="s">
        <v>766</v>
      </c>
      <c r="BU126" s="248"/>
      <c r="BV126" s="248"/>
      <c r="BW126" s="248"/>
      <c r="BX126" s="1"/>
      <c r="BY126" s="1"/>
      <c r="BZ126" s="1"/>
      <c r="CA126" s="1"/>
      <c r="CB126" s="1"/>
      <c r="CC126" s="1"/>
      <c r="CD126" s="1"/>
      <c r="CE126" s="1"/>
    </row>
    <row r="127" spans="1:83" s="249" customFormat="1" x14ac:dyDescent="0.25">
      <c r="A127" s="184">
        <v>42109</v>
      </c>
      <c r="B127" s="184"/>
      <c r="C127" s="261" t="s">
        <v>1225</v>
      </c>
      <c r="D127" s="252" t="s">
        <v>718</v>
      </c>
      <c r="E127" s="252" t="s">
        <v>1211</v>
      </c>
      <c r="F127" s="260" t="s">
        <v>1226</v>
      </c>
      <c r="G127" s="251" t="s">
        <v>720</v>
      </c>
      <c r="H127" s="250" t="s">
        <v>1227</v>
      </c>
      <c r="I127" s="251" t="s">
        <v>49</v>
      </c>
      <c r="J127" s="251" t="s">
        <v>1228</v>
      </c>
      <c r="K127" s="25"/>
      <c r="L127" s="26"/>
      <c r="M127" s="26"/>
      <c r="N127" s="26"/>
      <c r="O127" s="254"/>
      <c r="P127" s="254"/>
      <c r="Q127" s="254"/>
      <c r="R127" s="254"/>
      <c r="S127" s="254"/>
      <c r="T127" s="254"/>
      <c r="U127" s="25"/>
      <c r="V127" s="33"/>
      <c r="W127" s="25"/>
      <c r="X127" s="33"/>
      <c r="Y127" s="250"/>
      <c r="Z127" s="33"/>
      <c r="AA127" s="25"/>
      <c r="AB127" s="41" t="s">
        <v>1229</v>
      </c>
      <c r="AC127" s="251"/>
      <c r="AD127" s="41" t="s">
        <v>1230</v>
      </c>
      <c r="AE127" s="251"/>
      <c r="AF127" s="251"/>
      <c r="AG127" s="251"/>
      <c r="AH127" s="251"/>
      <c r="AI127" s="251"/>
      <c r="AJ127" s="251" t="s">
        <v>1228</v>
      </c>
      <c r="AK127" s="251"/>
      <c r="AL127" s="250" t="s">
        <v>1231</v>
      </c>
      <c r="AM127" s="251"/>
      <c r="AN127" s="251"/>
      <c r="AO127" s="251"/>
      <c r="AP127" s="251" t="s">
        <v>1232</v>
      </c>
      <c r="AQ127" s="25"/>
      <c r="AR127" s="255">
        <v>16.350000000000001</v>
      </c>
      <c r="AS127" s="256" t="s">
        <v>1233</v>
      </c>
      <c r="AT127" s="257">
        <v>10038568316032</v>
      </c>
      <c r="AU127" s="112">
        <v>9.65</v>
      </c>
      <c r="AV127" s="112">
        <v>7.8</v>
      </c>
      <c r="AW127" s="112">
        <v>2.2400000000000002</v>
      </c>
      <c r="AX127" s="38"/>
      <c r="AY127" s="38"/>
      <c r="AZ127" s="38"/>
      <c r="BA127" s="113">
        <f>9.75+(0.018*2)</f>
        <v>9.7859999999999996</v>
      </c>
      <c r="BB127" s="113">
        <f>2.31+(0.018*2)</f>
        <v>2.3460000000000001</v>
      </c>
      <c r="BC127" s="113">
        <f>9.75+(0.018*4)</f>
        <v>9.8219999999999992</v>
      </c>
      <c r="BD127" s="111">
        <f t="shared" ref="BD127" si="39">(BC127*BB127*BA127)/1728</f>
        <v>0.13049365962499998</v>
      </c>
      <c r="BE127" s="113">
        <f>0.54+0.1</f>
        <v>0.64</v>
      </c>
      <c r="BF127" s="259">
        <f>14.25+(0.125*2)</f>
        <v>14.5</v>
      </c>
      <c r="BG127" s="259">
        <f>9.87+(0.125*2)</f>
        <v>10.119999999999999</v>
      </c>
      <c r="BH127" s="259">
        <f>9.87+(0.125*4)</f>
        <v>10.37</v>
      </c>
      <c r="BI127" s="111">
        <f>(BH127*BG127*BF127)/1728</f>
        <v>0.88060983796296288</v>
      </c>
      <c r="BJ127" s="113">
        <f>(BE127*6)+0.25</f>
        <v>4.09</v>
      </c>
      <c r="BK127" s="341"/>
      <c r="BL127" s="341"/>
      <c r="BM127" s="251" t="s">
        <v>793</v>
      </c>
      <c r="BN127" s="251">
        <v>6</v>
      </c>
      <c r="BO127" s="251">
        <v>11</v>
      </c>
      <c r="BP127" s="251">
        <v>3</v>
      </c>
      <c r="BQ127" s="27">
        <f>BN127*BO127*BP127</f>
        <v>198</v>
      </c>
      <c r="BR127" s="27">
        <f>(BJ127*BO127*BP127)+50</f>
        <v>184.96999999999997</v>
      </c>
      <c r="BS127" s="251" t="s">
        <v>765</v>
      </c>
      <c r="BT127" s="27" t="s">
        <v>766</v>
      </c>
      <c r="BU127" s="248"/>
      <c r="BV127" s="248"/>
      <c r="BW127" s="248"/>
      <c r="BX127" s="1"/>
      <c r="BY127" s="1"/>
      <c r="BZ127" s="1"/>
      <c r="CA127" s="1"/>
      <c r="CB127" s="1"/>
      <c r="CC127" s="1"/>
      <c r="CD127" s="1"/>
      <c r="CE127" s="1"/>
    </row>
    <row r="128" spans="1:83" s="249" customFormat="1" x14ac:dyDescent="0.25">
      <c r="A128" s="184">
        <v>42109</v>
      </c>
      <c r="B128" s="184"/>
      <c r="C128" s="261" t="s">
        <v>1234</v>
      </c>
      <c r="D128" s="252" t="s">
        <v>60</v>
      </c>
      <c r="E128" s="252" t="s">
        <v>1235</v>
      </c>
      <c r="F128" s="260" t="s">
        <v>1236</v>
      </c>
      <c r="G128" s="251" t="s">
        <v>980</v>
      </c>
      <c r="H128" s="251" t="s">
        <v>1237</v>
      </c>
      <c r="I128" s="251" t="s">
        <v>980</v>
      </c>
      <c r="J128" s="251" t="s">
        <v>1238</v>
      </c>
      <c r="K128" s="25"/>
      <c r="L128" s="26"/>
      <c r="M128" s="26"/>
      <c r="N128" s="26"/>
      <c r="O128" s="254"/>
      <c r="P128" s="254"/>
      <c r="Q128" s="254"/>
      <c r="R128" s="254"/>
      <c r="S128" s="254"/>
      <c r="T128" s="254"/>
      <c r="U128" s="25" t="s">
        <v>1239</v>
      </c>
      <c r="V128" s="33"/>
      <c r="W128" s="25"/>
      <c r="X128" s="33"/>
      <c r="Y128" s="250"/>
      <c r="Z128" s="33" t="s">
        <v>1240</v>
      </c>
      <c r="AA128" s="25" t="s">
        <v>1241</v>
      </c>
      <c r="AB128" s="25" t="s">
        <v>1242</v>
      </c>
      <c r="AC128" s="158"/>
      <c r="AD128" s="31"/>
      <c r="AE128" s="31"/>
      <c r="AF128" s="31"/>
      <c r="AG128" s="31"/>
      <c r="AH128" s="31"/>
      <c r="AI128" s="31"/>
      <c r="AJ128" s="31"/>
      <c r="AK128" s="262"/>
      <c r="AL128" s="250"/>
      <c r="AM128" s="31"/>
      <c r="AN128" s="31"/>
      <c r="AO128" s="31"/>
      <c r="AP128" s="31"/>
      <c r="AQ128" s="25">
        <v>33753</v>
      </c>
      <c r="AR128" s="209">
        <v>32.479999999999997</v>
      </c>
      <c r="AS128" s="256" t="s">
        <v>1243</v>
      </c>
      <c r="AT128" s="257">
        <v>10038568738261</v>
      </c>
      <c r="AU128" s="38"/>
      <c r="AV128" s="38"/>
      <c r="AW128" s="38"/>
      <c r="AX128" s="263">
        <v>6.48</v>
      </c>
      <c r="AY128" s="263">
        <v>4.26</v>
      </c>
      <c r="AZ128" s="263">
        <v>3.63</v>
      </c>
      <c r="BA128" s="399" t="s">
        <v>985</v>
      </c>
      <c r="BB128" s="399"/>
      <c r="BC128" s="399"/>
      <c r="BD128" s="399"/>
      <c r="BE128" s="399"/>
      <c r="BF128" s="259">
        <f>13.25+(0.125*2)</f>
        <v>13.5</v>
      </c>
      <c r="BG128" s="259">
        <f>9+(0.125*2)</f>
        <v>9.25</v>
      </c>
      <c r="BH128" s="259">
        <f>6.75+(0.125*4)</f>
        <v>7.25</v>
      </c>
      <c r="BI128" s="111">
        <f t="shared" ref="BI128" si="40">(BH128*BG128*BF128)/1728</f>
        <v>0.52392578125</v>
      </c>
      <c r="BJ128" s="113">
        <f>(1.5*6)+0.25</f>
        <v>9.25</v>
      </c>
      <c r="BK128" s="341"/>
      <c r="BL128" s="341"/>
      <c r="BM128" s="251" t="s">
        <v>793</v>
      </c>
      <c r="BN128" s="251">
        <v>6</v>
      </c>
      <c r="BO128" s="251">
        <v>13</v>
      </c>
      <c r="BP128" s="251">
        <v>6</v>
      </c>
      <c r="BQ128" s="27">
        <f t="shared" ref="BQ128" si="41">BN128*BO128*BP128</f>
        <v>468</v>
      </c>
      <c r="BR128" s="27">
        <f t="shared" ref="BR128" si="42">(BJ128*BO128*BP128)+50</f>
        <v>771.5</v>
      </c>
      <c r="BS128" s="251" t="s">
        <v>886</v>
      </c>
      <c r="BT128" s="27" t="s">
        <v>766</v>
      </c>
      <c r="BU128" s="248"/>
      <c r="BV128" s="248"/>
      <c r="BW128" s="248"/>
      <c r="BX128" s="1"/>
      <c r="BY128" s="1"/>
      <c r="BZ128" s="1"/>
      <c r="CA128" s="1"/>
      <c r="CB128" s="1"/>
      <c r="CC128" s="1"/>
      <c r="CD128" s="1"/>
      <c r="CE128" s="1"/>
    </row>
    <row r="129" spans="1:83" s="249" customFormat="1" ht="15" customHeight="1" x14ac:dyDescent="0.25">
      <c r="A129" s="184">
        <v>42083</v>
      </c>
      <c r="B129" s="184"/>
      <c r="C129" s="224" t="s">
        <v>1244</v>
      </c>
      <c r="D129" s="252" t="s">
        <v>718</v>
      </c>
      <c r="E129" s="252" t="s">
        <v>1211</v>
      </c>
      <c r="F129" s="253" t="s">
        <v>1245</v>
      </c>
      <c r="G129" s="251" t="s">
        <v>737</v>
      </c>
      <c r="H129" s="251">
        <v>25898499</v>
      </c>
      <c r="I129" s="264"/>
      <c r="J129" s="31"/>
      <c r="K129" s="25"/>
      <c r="L129" s="26"/>
      <c r="M129" s="26"/>
      <c r="N129" s="26"/>
      <c r="O129" s="254"/>
      <c r="P129" s="254"/>
      <c r="Q129" s="254"/>
      <c r="R129" s="254"/>
      <c r="S129" s="254"/>
      <c r="T129" s="254"/>
      <c r="U129" s="25"/>
      <c r="V129" s="33"/>
      <c r="W129" s="25"/>
      <c r="X129" s="33"/>
      <c r="Y129" s="250"/>
      <c r="Z129" s="33"/>
      <c r="AA129" s="25"/>
      <c r="AB129" s="25" t="s">
        <v>1246</v>
      </c>
      <c r="AC129" s="31"/>
      <c r="AD129" s="31"/>
      <c r="AE129" s="31"/>
      <c r="AF129" s="31"/>
      <c r="AG129" s="31"/>
      <c r="AH129" s="31"/>
      <c r="AI129" s="31"/>
      <c r="AJ129" s="31"/>
      <c r="AK129" s="262"/>
      <c r="AL129" s="31"/>
      <c r="AM129" s="31"/>
      <c r="AN129" s="31"/>
      <c r="AO129" s="31"/>
      <c r="AP129" s="31"/>
      <c r="AQ129" s="25"/>
      <c r="AR129" s="209">
        <v>69.739999999999995</v>
      </c>
      <c r="AS129" s="256" t="s">
        <v>1247</v>
      </c>
      <c r="AT129" s="257">
        <v>10038568742398</v>
      </c>
      <c r="AU129" s="112">
        <v>11.32</v>
      </c>
      <c r="AV129" s="112">
        <v>9.31</v>
      </c>
      <c r="AW129" s="112">
        <v>1.97</v>
      </c>
      <c r="AX129" s="38"/>
      <c r="AY129" s="36"/>
      <c r="AZ129" s="36"/>
      <c r="BA129" s="113">
        <v>10.036</v>
      </c>
      <c r="BB129" s="113">
        <v>2.536</v>
      </c>
      <c r="BC129" s="113">
        <v>12.571999999999999</v>
      </c>
      <c r="BD129" s="111">
        <v>0.18516996140740738</v>
      </c>
      <c r="BE129" s="113">
        <v>0.753</v>
      </c>
      <c r="BF129" s="259">
        <v>13.25</v>
      </c>
      <c r="BG129" s="259">
        <v>8.25</v>
      </c>
      <c r="BH129" s="259">
        <v>11.5</v>
      </c>
      <c r="BI129" s="111">
        <v>0.72748480902777779</v>
      </c>
      <c r="BJ129" s="113">
        <v>2.5089999999999999</v>
      </c>
      <c r="BK129" s="341"/>
      <c r="BL129" s="341"/>
      <c r="BM129" s="251" t="s">
        <v>793</v>
      </c>
      <c r="BN129" s="251">
        <v>3</v>
      </c>
      <c r="BO129" s="251">
        <v>16</v>
      </c>
      <c r="BP129" s="251">
        <v>3</v>
      </c>
      <c r="BQ129" s="27">
        <v>144</v>
      </c>
      <c r="BR129" s="27">
        <v>170.43199999999999</v>
      </c>
      <c r="BS129" s="251" t="s">
        <v>951</v>
      </c>
      <c r="BT129" s="27" t="s">
        <v>766</v>
      </c>
      <c r="BU129" s="248"/>
      <c r="BV129" s="248"/>
      <c r="BW129" s="248"/>
      <c r="BX129" s="1"/>
      <c r="BY129" s="1"/>
      <c r="BZ129" s="1"/>
      <c r="CA129" s="1"/>
      <c r="CB129" s="1"/>
      <c r="CC129" s="1"/>
      <c r="CD129" s="1"/>
      <c r="CE129" s="1"/>
    </row>
    <row r="130" spans="1:83" s="249" customFormat="1" x14ac:dyDescent="0.25">
      <c r="A130" s="184">
        <v>42083</v>
      </c>
      <c r="B130" s="184"/>
      <c r="C130" s="224" t="s">
        <v>1248</v>
      </c>
      <c r="D130" s="252" t="s">
        <v>718</v>
      </c>
      <c r="E130" s="252" t="s">
        <v>1211</v>
      </c>
      <c r="F130" s="253" t="s">
        <v>1249</v>
      </c>
      <c r="G130" s="251" t="s">
        <v>754</v>
      </c>
      <c r="H130" s="251">
        <v>13717798342</v>
      </c>
      <c r="I130" s="264"/>
      <c r="J130" s="31"/>
      <c r="K130" s="25"/>
      <c r="L130" s="26"/>
      <c r="M130" s="26"/>
      <c r="N130" s="26"/>
      <c r="O130" s="254"/>
      <c r="P130" s="254"/>
      <c r="Q130" s="254"/>
      <c r="R130" s="254"/>
      <c r="S130" s="254"/>
      <c r="T130" s="254"/>
      <c r="U130" s="25"/>
      <c r="V130" s="33"/>
      <c r="W130" s="25"/>
      <c r="X130" s="33"/>
      <c r="Y130" s="250"/>
      <c r="Z130" s="33"/>
      <c r="AA130" s="25"/>
      <c r="AB130" s="25" t="s">
        <v>1250</v>
      </c>
      <c r="AC130" s="41" t="s">
        <v>1251</v>
      </c>
      <c r="AD130" s="31"/>
      <c r="AE130" s="31"/>
      <c r="AF130" s="31"/>
      <c r="AG130" s="31"/>
      <c r="AH130" s="31"/>
      <c r="AI130" s="31"/>
      <c r="AJ130" s="31"/>
      <c r="AK130" s="262"/>
      <c r="AL130" s="31" t="s">
        <v>1252</v>
      </c>
      <c r="AM130" s="31"/>
      <c r="AN130" s="31"/>
      <c r="AO130" s="31"/>
      <c r="AP130" s="31"/>
      <c r="AQ130" s="158" t="s">
        <v>1253</v>
      </c>
      <c r="AR130" s="209">
        <v>46.6</v>
      </c>
      <c r="AS130" s="256" t="s">
        <v>1254</v>
      </c>
      <c r="AT130" s="257">
        <v>10038568742411</v>
      </c>
      <c r="AU130" s="112">
        <v>12.68</v>
      </c>
      <c r="AV130" s="112">
        <v>10.02</v>
      </c>
      <c r="AW130" s="112">
        <v>2.17</v>
      </c>
      <c r="AX130" s="38"/>
      <c r="AY130" s="38"/>
      <c r="AZ130" s="38"/>
      <c r="BA130" s="113">
        <v>10.536</v>
      </c>
      <c r="BB130" s="113">
        <v>2.786</v>
      </c>
      <c r="BC130" s="113">
        <v>15.071999999999999</v>
      </c>
      <c r="BD130" s="111">
        <v>0.25602597066666666</v>
      </c>
      <c r="BE130" s="113">
        <v>1.171</v>
      </c>
      <c r="BF130" s="259">
        <v>15.68</v>
      </c>
      <c r="BG130" s="259">
        <v>11.81</v>
      </c>
      <c r="BH130" s="259">
        <v>9.6199999999999992</v>
      </c>
      <c r="BI130" s="111">
        <v>1.0309255185185184</v>
      </c>
      <c r="BJ130" s="113">
        <v>3.7629999999999999</v>
      </c>
      <c r="BK130" s="341"/>
      <c r="BL130" s="341"/>
      <c r="BM130" s="251" t="s">
        <v>793</v>
      </c>
      <c r="BN130" s="251">
        <v>3</v>
      </c>
      <c r="BO130" s="251">
        <v>10</v>
      </c>
      <c r="BP130" s="251">
        <v>4</v>
      </c>
      <c r="BQ130" s="27">
        <v>120</v>
      </c>
      <c r="BR130" s="27">
        <v>200.51999999999998</v>
      </c>
      <c r="BS130" s="251" t="s">
        <v>951</v>
      </c>
      <c r="BT130" s="27" t="s">
        <v>766</v>
      </c>
      <c r="BU130" s="248"/>
      <c r="BV130" s="248"/>
      <c r="BW130" s="248"/>
      <c r="BX130" s="1"/>
      <c r="BY130" s="1"/>
      <c r="BZ130" s="1"/>
      <c r="CA130" s="1"/>
      <c r="CB130" s="1"/>
      <c r="CC130" s="1"/>
      <c r="CD130" s="1"/>
      <c r="CE130" s="1"/>
    </row>
    <row r="131" spans="1:83" s="249" customFormat="1" x14ac:dyDescent="0.25">
      <c r="A131" s="184">
        <v>42083</v>
      </c>
      <c r="B131" s="184"/>
      <c r="C131" s="224" t="s">
        <v>1255</v>
      </c>
      <c r="D131" s="252" t="s">
        <v>718</v>
      </c>
      <c r="E131" s="252" t="s">
        <v>1211</v>
      </c>
      <c r="F131" s="253" t="s">
        <v>1256</v>
      </c>
      <c r="G131" s="251" t="s">
        <v>1257</v>
      </c>
      <c r="H131" s="251" t="s">
        <v>1258</v>
      </c>
      <c r="I131" s="264"/>
      <c r="J131" s="31"/>
      <c r="K131" s="25"/>
      <c r="L131" s="26"/>
      <c r="M131" s="26"/>
      <c r="N131" s="26"/>
      <c r="O131" s="254"/>
      <c r="P131" s="254"/>
      <c r="Q131" s="254"/>
      <c r="R131" s="254"/>
      <c r="S131" s="254"/>
      <c r="T131" s="254"/>
      <c r="U131" s="25"/>
      <c r="V131" s="33"/>
      <c r="W131" s="25"/>
      <c r="X131" s="33"/>
      <c r="Y131" s="250"/>
      <c r="Z131" s="33"/>
      <c r="AA131" s="25"/>
      <c r="AB131" s="25" t="s">
        <v>1259</v>
      </c>
      <c r="AC131" s="158"/>
      <c r="AD131" s="31"/>
      <c r="AE131" s="31"/>
      <c r="AF131" s="31"/>
      <c r="AG131" s="31"/>
      <c r="AH131" s="31"/>
      <c r="AI131" s="31"/>
      <c r="AJ131" s="31"/>
      <c r="AK131" s="262"/>
      <c r="AL131" s="31" t="s">
        <v>1260</v>
      </c>
      <c r="AM131" s="31"/>
      <c r="AN131" s="31"/>
      <c r="AO131" s="31"/>
      <c r="AP131" s="31"/>
      <c r="AQ131" s="158" t="s">
        <v>1261</v>
      </c>
      <c r="AR131" s="209">
        <v>21.67</v>
      </c>
      <c r="AS131" s="256" t="s">
        <v>1262</v>
      </c>
      <c r="AT131" s="257">
        <v>10038568316056</v>
      </c>
      <c r="AU131" s="112">
        <v>11.22</v>
      </c>
      <c r="AV131" s="112">
        <v>6.46</v>
      </c>
      <c r="AW131" s="112">
        <v>2.11</v>
      </c>
      <c r="AX131" s="38"/>
      <c r="AY131" s="38"/>
      <c r="AZ131" s="38"/>
      <c r="BA131" s="113">
        <v>7.0359999999999996</v>
      </c>
      <c r="BB131" s="113">
        <v>2.536</v>
      </c>
      <c r="BC131" s="113">
        <v>11.821999999999999</v>
      </c>
      <c r="BD131" s="111">
        <v>0.12207375307407406</v>
      </c>
      <c r="BE131" s="113">
        <v>0.80099999999999993</v>
      </c>
      <c r="BF131" s="259">
        <v>12.25</v>
      </c>
      <c r="BG131" s="259">
        <v>7.5</v>
      </c>
      <c r="BH131" s="259">
        <v>8.5</v>
      </c>
      <c r="BI131" s="111">
        <v>0.4519314236111111</v>
      </c>
      <c r="BJ131" s="113">
        <v>2.6529999999999996</v>
      </c>
      <c r="BK131" s="341"/>
      <c r="BL131" s="341"/>
      <c r="BM131" s="251" t="s">
        <v>793</v>
      </c>
      <c r="BN131" s="251">
        <v>3</v>
      </c>
      <c r="BO131" s="251">
        <v>20</v>
      </c>
      <c r="BP131" s="251">
        <v>5</v>
      </c>
      <c r="BQ131" s="27">
        <v>300</v>
      </c>
      <c r="BR131" s="27">
        <v>315.29999999999995</v>
      </c>
      <c r="BS131" s="251" t="s">
        <v>951</v>
      </c>
      <c r="BT131" s="27" t="s">
        <v>766</v>
      </c>
      <c r="BU131" s="248"/>
      <c r="BV131" s="248"/>
      <c r="BW131" s="248"/>
      <c r="BX131" s="1"/>
      <c r="BY131" s="1"/>
      <c r="BZ131" s="1"/>
      <c r="CA131" s="1"/>
      <c r="CB131" s="1"/>
      <c r="CC131" s="1"/>
      <c r="CD131" s="1"/>
      <c r="CE131" s="1"/>
    </row>
    <row r="132" spans="1:83" s="249" customFormat="1" x14ac:dyDescent="0.25">
      <c r="A132" s="184">
        <v>42083</v>
      </c>
      <c r="B132" s="184"/>
      <c r="C132" s="224" t="s">
        <v>1263</v>
      </c>
      <c r="D132" s="252" t="s">
        <v>718</v>
      </c>
      <c r="E132" s="252" t="s">
        <v>1211</v>
      </c>
      <c r="F132" s="253" t="s">
        <v>1264</v>
      </c>
      <c r="G132" s="251" t="s">
        <v>759</v>
      </c>
      <c r="H132" s="251">
        <v>2710940304</v>
      </c>
      <c r="I132" s="264"/>
      <c r="J132" s="31"/>
      <c r="K132" s="25"/>
      <c r="L132" s="26"/>
      <c r="M132" s="26"/>
      <c r="N132" s="26"/>
      <c r="O132" s="254"/>
      <c r="P132" s="254"/>
      <c r="Q132" s="254"/>
      <c r="R132" s="254"/>
      <c r="S132" s="254"/>
      <c r="T132" s="254"/>
      <c r="U132" s="25"/>
      <c r="V132" s="33"/>
      <c r="W132" s="25"/>
      <c r="X132" s="33"/>
      <c r="Y132" s="250"/>
      <c r="Z132" s="33"/>
      <c r="AA132" s="25"/>
      <c r="AB132" s="25" t="s">
        <v>1265</v>
      </c>
      <c r="AC132" s="158"/>
      <c r="AD132" s="31"/>
      <c r="AE132" s="31"/>
      <c r="AF132" s="31"/>
      <c r="AG132" s="31"/>
      <c r="AH132" s="31"/>
      <c r="AI132" s="31"/>
      <c r="AJ132" s="31"/>
      <c r="AK132" s="262"/>
      <c r="AL132" s="250"/>
      <c r="AM132" s="31"/>
      <c r="AN132" s="31"/>
      <c r="AO132" s="31"/>
      <c r="AP132" s="31"/>
      <c r="AQ132" s="25"/>
      <c r="AR132" s="209">
        <v>25.89</v>
      </c>
      <c r="AS132" s="256" t="s">
        <v>1266</v>
      </c>
      <c r="AT132" s="257">
        <v>10038568742480</v>
      </c>
      <c r="AU132" s="112">
        <v>12.36</v>
      </c>
      <c r="AV132" s="112">
        <v>5.75</v>
      </c>
      <c r="AW132" s="112">
        <v>2.0099999999999998</v>
      </c>
      <c r="AX132" s="38"/>
      <c r="AY132" s="38"/>
      <c r="AZ132" s="38"/>
      <c r="BA132" s="113">
        <v>9.2859999999999996</v>
      </c>
      <c r="BB132" s="113">
        <v>2.9060000000000001</v>
      </c>
      <c r="BC132" s="113">
        <v>13.191999999999998</v>
      </c>
      <c r="BD132" s="111">
        <v>0.20601137168518519</v>
      </c>
      <c r="BE132" s="113">
        <v>0.5</v>
      </c>
      <c r="BF132" s="259">
        <v>13.87</v>
      </c>
      <c r="BG132" s="259">
        <v>9.75</v>
      </c>
      <c r="BH132" s="259">
        <v>10</v>
      </c>
      <c r="BI132" s="111">
        <v>0.78259548611111096</v>
      </c>
      <c r="BJ132" s="113">
        <v>1.75</v>
      </c>
      <c r="BK132" s="341"/>
      <c r="BL132" s="341"/>
      <c r="BM132" s="251" t="s">
        <v>793</v>
      </c>
      <c r="BN132" s="251">
        <v>3</v>
      </c>
      <c r="BO132" s="251">
        <v>13</v>
      </c>
      <c r="BP132" s="251">
        <v>4</v>
      </c>
      <c r="BQ132" s="27">
        <v>156</v>
      </c>
      <c r="BR132" s="27">
        <v>141</v>
      </c>
      <c r="BS132" s="251" t="s">
        <v>769</v>
      </c>
      <c r="BT132" s="27" t="s">
        <v>766</v>
      </c>
      <c r="BU132" s="248"/>
      <c r="BV132" s="248"/>
      <c r="BW132" s="248"/>
      <c r="BX132" s="1"/>
      <c r="BY132" s="1"/>
      <c r="BZ132" s="1"/>
      <c r="CA132" s="1"/>
      <c r="CB132" s="1"/>
      <c r="CC132" s="1"/>
      <c r="CD132" s="1"/>
      <c r="CE132" s="1"/>
    </row>
    <row r="133" spans="1:83" s="249" customFormat="1" x14ac:dyDescent="0.25">
      <c r="A133" s="184">
        <v>42083</v>
      </c>
      <c r="B133" s="184"/>
      <c r="C133" s="265" t="s">
        <v>1267</v>
      </c>
      <c r="D133" s="252" t="s">
        <v>718</v>
      </c>
      <c r="E133" s="252" t="s">
        <v>1211</v>
      </c>
      <c r="F133" s="260" t="s">
        <v>1268</v>
      </c>
      <c r="G133" s="264" t="s">
        <v>754</v>
      </c>
      <c r="H133" s="31">
        <v>13717599285</v>
      </c>
      <c r="I133" s="264"/>
      <c r="J133" s="31"/>
      <c r="K133" s="25"/>
      <c r="L133" s="26"/>
      <c r="M133" s="26"/>
      <c r="N133" s="26"/>
      <c r="O133" s="254"/>
      <c r="P133" s="254"/>
      <c r="Q133" s="254"/>
      <c r="R133" s="254"/>
      <c r="S133" s="254"/>
      <c r="T133" s="254"/>
      <c r="U133" s="25"/>
      <c r="V133" s="33"/>
      <c r="W133" s="25"/>
      <c r="X133" s="33"/>
      <c r="Y133" s="250"/>
      <c r="Z133" s="33"/>
      <c r="AA133" s="25"/>
      <c r="AB133" s="25"/>
      <c r="AC133" s="158"/>
      <c r="AD133" s="31"/>
      <c r="AE133" s="31"/>
      <c r="AF133" s="31"/>
      <c r="AG133" s="31"/>
      <c r="AH133" s="31"/>
      <c r="AI133" s="31"/>
      <c r="AJ133" s="31"/>
      <c r="AK133" s="262"/>
      <c r="AL133" s="250"/>
      <c r="AM133" s="31"/>
      <c r="AN133" s="31"/>
      <c r="AO133" s="31"/>
      <c r="AP133" s="31"/>
      <c r="AQ133" s="25"/>
      <c r="AR133" s="209">
        <v>30.61</v>
      </c>
      <c r="AS133" s="256" t="s">
        <v>1269</v>
      </c>
      <c r="AT133" s="257">
        <v>10038568742510</v>
      </c>
      <c r="AU133" s="112">
        <v>11.2</v>
      </c>
      <c r="AV133" s="112">
        <v>10.43</v>
      </c>
      <c r="AW133" s="112">
        <v>1.28</v>
      </c>
      <c r="AX133" s="38"/>
      <c r="AY133" s="38"/>
      <c r="AZ133" s="38"/>
      <c r="BA133" s="113">
        <v>12.155999999999999</v>
      </c>
      <c r="BB133" s="113">
        <v>2.5960000000000001</v>
      </c>
      <c r="BC133" s="113">
        <v>12.191999999999998</v>
      </c>
      <c r="BD133" s="111">
        <v>0.22265199733333332</v>
      </c>
      <c r="BE133" s="113">
        <v>0.60699999999999998</v>
      </c>
      <c r="BF133" s="259">
        <v>12.62</v>
      </c>
      <c r="BG133" s="259">
        <v>8.3699999999999992</v>
      </c>
      <c r="BH133" s="259">
        <v>12.87</v>
      </c>
      <c r="BI133" s="111">
        <v>0.78671896874999969</v>
      </c>
      <c r="BJ133" s="113">
        <v>2.0709999999999997</v>
      </c>
      <c r="BK133" s="341"/>
      <c r="BL133" s="341"/>
      <c r="BM133" s="251" t="s">
        <v>793</v>
      </c>
      <c r="BN133" s="251">
        <v>3</v>
      </c>
      <c r="BO133" s="251">
        <v>16</v>
      </c>
      <c r="BP133" s="251">
        <v>5</v>
      </c>
      <c r="BQ133" s="27">
        <v>240</v>
      </c>
      <c r="BR133" s="27">
        <v>215.67999999999998</v>
      </c>
      <c r="BS133" s="251" t="s">
        <v>765</v>
      </c>
      <c r="BT133" s="27" t="s">
        <v>766</v>
      </c>
      <c r="BU133" s="248"/>
      <c r="BV133" s="248"/>
      <c r="BW133" s="248"/>
      <c r="BX133" s="1"/>
      <c r="BY133" s="1"/>
      <c r="BZ133" s="1"/>
      <c r="CA133" s="1"/>
      <c r="CB133" s="1"/>
      <c r="CC133" s="1"/>
      <c r="CD133" s="1"/>
      <c r="CE133" s="1"/>
    </row>
    <row r="134" spans="1:83" s="249" customFormat="1" ht="15" customHeight="1" x14ac:dyDescent="0.25">
      <c r="A134" s="184">
        <v>42083</v>
      </c>
      <c r="B134" s="184"/>
      <c r="C134" s="261" t="s">
        <v>1270</v>
      </c>
      <c r="D134" s="252" t="s">
        <v>60</v>
      </c>
      <c r="E134" s="252" t="s">
        <v>1271</v>
      </c>
      <c r="F134" s="260" t="s">
        <v>1272</v>
      </c>
      <c r="G134" s="251" t="s">
        <v>1273</v>
      </c>
      <c r="H134" s="251" t="s">
        <v>1274</v>
      </c>
      <c r="I134" s="264"/>
      <c r="J134" s="31"/>
      <c r="K134" s="25"/>
      <c r="L134" s="26"/>
      <c r="M134" s="26"/>
      <c r="N134" s="26"/>
      <c r="O134" s="254"/>
      <c r="P134" s="254"/>
      <c r="Q134" s="254"/>
      <c r="R134" s="254"/>
      <c r="S134" s="254"/>
      <c r="T134" s="254"/>
      <c r="U134" s="25"/>
      <c r="V134" s="33"/>
      <c r="W134" s="25"/>
      <c r="X134" s="33"/>
      <c r="Y134" s="250" t="s">
        <v>1275</v>
      </c>
      <c r="Z134" s="33"/>
      <c r="AA134" s="25"/>
      <c r="AB134" s="25"/>
      <c r="AC134" s="158"/>
      <c r="AD134" s="31"/>
      <c r="AE134" s="31"/>
      <c r="AF134" s="31"/>
      <c r="AG134" s="31"/>
      <c r="AH134" s="31"/>
      <c r="AI134" s="31"/>
      <c r="AJ134" s="31"/>
      <c r="AK134" s="262"/>
      <c r="AL134" s="250"/>
      <c r="AM134" s="31"/>
      <c r="AN134" s="31"/>
      <c r="AO134" s="31"/>
      <c r="AP134" s="31"/>
      <c r="AQ134" s="25" t="s">
        <v>1276</v>
      </c>
      <c r="AR134" s="209">
        <v>74.69</v>
      </c>
      <c r="AS134" s="266" t="s">
        <v>1277</v>
      </c>
      <c r="AT134" s="267" t="s">
        <v>1278</v>
      </c>
      <c r="AU134" s="112"/>
      <c r="AV134" s="112"/>
      <c r="AW134" s="112"/>
      <c r="AX134" s="112">
        <v>1.63</v>
      </c>
      <c r="AY134" s="112">
        <v>3.54</v>
      </c>
      <c r="AZ134" s="38"/>
      <c r="BA134" s="396" t="s">
        <v>985</v>
      </c>
      <c r="BB134" s="396"/>
      <c r="BC134" s="396"/>
      <c r="BD134" s="396"/>
      <c r="BE134" s="396"/>
      <c r="BF134" s="113">
        <v>3.375</v>
      </c>
      <c r="BG134" s="113">
        <v>3.375</v>
      </c>
      <c r="BH134" s="113">
        <v>5</v>
      </c>
      <c r="BI134" s="111">
        <v>3.2958984375E-2</v>
      </c>
      <c r="BJ134" s="113">
        <v>1.85</v>
      </c>
      <c r="BK134" s="341"/>
      <c r="BL134" s="341"/>
      <c r="BM134" s="44" t="s">
        <v>764</v>
      </c>
      <c r="BN134" s="27">
        <v>1</v>
      </c>
      <c r="BO134" s="27">
        <v>357</v>
      </c>
      <c r="BP134" s="27">
        <v>9</v>
      </c>
      <c r="BQ134" s="27">
        <v>3213</v>
      </c>
      <c r="BR134" s="27">
        <v>5994.05</v>
      </c>
      <c r="BS134" s="251" t="s">
        <v>1279</v>
      </c>
      <c r="BT134" s="27" t="s">
        <v>766</v>
      </c>
      <c r="BU134" s="248"/>
      <c r="BV134" s="248"/>
      <c r="BW134" s="248"/>
      <c r="BX134" s="1"/>
      <c r="BY134" s="1"/>
      <c r="BZ134" s="1"/>
      <c r="CA134" s="1"/>
      <c r="CB134" s="1"/>
      <c r="CC134" s="1"/>
      <c r="CD134" s="1"/>
      <c r="CE134" s="1"/>
    </row>
    <row r="135" spans="1:83" s="249" customFormat="1" x14ac:dyDescent="0.25">
      <c r="A135" s="184">
        <v>42083</v>
      </c>
      <c r="B135" s="184"/>
      <c r="C135" s="261" t="s">
        <v>1280</v>
      </c>
      <c r="D135" s="252" t="s">
        <v>60</v>
      </c>
      <c r="E135" s="252" t="s">
        <v>1271</v>
      </c>
      <c r="F135" s="260" t="s">
        <v>846</v>
      </c>
      <c r="G135" s="260" t="s">
        <v>846</v>
      </c>
      <c r="H135" s="251" t="s">
        <v>1281</v>
      </c>
      <c r="I135" s="264"/>
      <c r="J135" s="31"/>
      <c r="K135" s="25"/>
      <c r="L135" s="26"/>
      <c r="M135" s="26"/>
      <c r="N135" s="26"/>
      <c r="O135" s="254"/>
      <c r="P135" s="254"/>
      <c r="Q135" s="254"/>
      <c r="R135" s="254"/>
      <c r="S135" s="254"/>
      <c r="T135" s="254"/>
      <c r="U135" s="25" t="s">
        <v>1282</v>
      </c>
      <c r="V135" s="33"/>
      <c r="W135" s="25"/>
      <c r="X135" s="33"/>
      <c r="Y135" s="250"/>
      <c r="Z135" s="33"/>
      <c r="AA135" s="25"/>
      <c r="AB135" s="25"/>
      <c r="AC135" s="158"/>
      <c r="AD135" s="31"/>
      <c r="AE135" s="31"/>
      <c r="AF135" s="31"/>
      <c r="AG135" s="31"/>
      <c r="AH135" s="31"/>
      <c r="AI135" s="31"/>
      <c r="AJ135" s="31"/>
      <c r="AK135" s="262"/>
      <c r="AL135" s="250"/>
      <c r="AM135" s="31"/>
      <c r="AN135" s="31"/>
      <c r="AO135" s="31"/>
      <c r="AP135" s="31"/>
      <c r="AQ135" s="25" t="s">
        <v>1283</v>
      </c>
      <c r="AR135" s="209">
        <v>33</v>
      </c>
      <c r="AS135" s="266" t="s">
        <v>1284</v>
      </c>
      <c r="AT135" s="267" t="s">
        <v>1285</v>
      </c>
      <c r="AU135" s="112"/>
      <c r="AV135" s="112"/>
      <c r="AW135" s="112"/>
      <c r="AX135" s="112">
        <v>2.04</v>
      </c>
      <c r="AY135" s="112">
        <v>2.95</v>
      </c>
      <c r="AZ135" s="38"/>
      <c r="BA135" s="396" t="s">
        <v>985</v>
      </c>
      <c r="BB135" s="396"/>
      <c r="BC135" s="396"/>
      <c r="BD135" s="396"/>
      <c r="BE135" s="396"/>
      <c r="BF135" s="113">
        <v>2.5</v>
      </c>
      <c r="BG135" s="113">
        <v>2.5</v>
      </c>
      <c r="BH135" s="113">
        <v>5</v>
      </c>
      <c r="BI135" s="111">
        <v>1.8084490740740741E-2</v>
      </c>
      <c r="BJ135" s="113">
        <v>0.55000000000000004</v>
      </c>
      <c r="BK135" s="341"/>
      <c r="BL135" s="341"/>
      <c r="BM135" s="44" t="s">
        <v>764</v>
      </c>
      <c r="BN135" s="27">
        <v>1</v>
      </c>
      <c r="BO135" s="27">
        <v>357</v>
      </c>
      <c r="BP135" s="27">
        <v>9</v>
      </c>
      <c r="BQ135" s="27">
        <v>3213</v>
      </c>
      <c r="BR135" s="27">
        <v>1817.15</v>
      </c>
      <c r="BS135" s="251" t="s">
        <v>1279</v>
      </c>
      <c r="BT135" s="27" t="s">
        <v>766</v>
      </c>
      <c r="BU135" s="248"/>
      <c r="BV135" s="248"/>
      <c r="BW135" s="248"/>
      <c r="BX135" s="1"/>
      <c r="BY135" s="1"/>
      <c r="BZ135" s="1"/>
      <c r="CA135" s="1"/>
      <c r="CB135" s="1"/>
      <c r="CC135" s="1"/>
      <c r="CD135" s="1"/>
      <c r="CE135" s="1"/>
    </row>
    <row r="136" spans="1:83" s="249" customFormat="1" x14ac:dyDescent="0.25">
      <c r="A136" s="184">
        <v>42083</v>
      </c>
      <c r="B136" s="184"/>
      <c r="C136" s="261" t="s">
        <v>1286</v>
      </c>
      <c r="D136" s="252" t="s">
        <v>60</v>
      </c>
      <c r="E136" s="252" t="s">
        <v>1271</v>
      </c>
      <c r="F136" s="260" t="s">
        <v>1287</v>
      </c>
      <c r="G136" s="260" t="s">
        <v>846</v>
      </c>
      <c r="H136" s="251" t="s">
        <v>1288</v>
      </c>
      <c r="I136" s="264" t="s">
        <v>1289</v>
      </c>
      <c r="J136" s="31">
        <v>32910801</v>
      </c>
      <c r="K136" s="25"/>
      <c r="L136" s="26"/>
      <c r="M136" s="26"/>
      <c r="N136" s="26"/>
      <c r="O136" s="254"/>
      <c r="P136" s="254"/>
      <c r="Q136" s="254"/>
      <c r="R136" s="254"/>
      <c r="S136" s="254"/>
      <c r="T136" s="254"/>
      <c r="U136" s="25" t="s">
        <v>1290</v>
      </c>
      <c r="V136" s="33"/>
      <c r="W136" s="25"/>
      <c r="X136" s="33"/>
      <c r="Y136" s="250" t="s">
        <v>1291</v>
      </c>
      <c r="Z136" s="33"/>
      <c r="AA136" s="25" t="s">
        <v>1292</v>
      </c>
      <c r="AB136" s="25"/>
      <c r="AC136" s="158"/>
      <c r="AD136" s="31"/>
      <c r="AE136" s="31"/>
      <c r="AF136" s="31"/>
      <c r="AG136" s="31"/>
      <c r="AH136" s="31"/>
      <c r="AI136" s="31"/>
      <c r="AJ136" s="31"/>
      <c r="AK136" s="262"/>
      <c r="AL136" s="250"/>
      <c r="AM136" s="31"/>
      <c r="AN136" s="31"/>
      <c r="AO136" s="31"/>
      <c r="AP136" s="31"/>
      <c r="AQ136" s="25" t="s">
        <v>1293</v>
      </c>
      <c r="AR136" s="209">
        <v>75.709999999999994</v>
      </c>
      <c r="AS136" s="266" t="s">
        <v>1294</v>
      </c>
      <c r="AT136" s="267" t="s">
        <v>1295</v>
      </c>
      <c r="AU136" s="112"/>
      <c r="AV136" s="112"/>
      <c r="AW136" s="112"/>
      <c r="AX136" s="112">
        <v>2.76</v>
      </c>
      <c r="AY136" s="112">
        <v>5.24</v>
      </c>
      <c r="AZ136" s="38"/>
      <c r="BA136" s="396" t="s">
        <v>985</v>
      </c>
      <c r="BB136" s="396"/>
      <c r="BC136" s="396"/>
      <c r="BD136" s="396"/>
      <c r="BE136" s="396"/>
      <c r="BF136" s="113">
        <v>3.75</v>
      </c>
      <c r="BG136" s="113">
        <v>3.75</v>
      </c>
      <c r="BH136" s="113">
        <v>10.5</v>
      </c>
      <c r="BI136" s="111">
        <v>8.544921875E-2</v>
      </c>
      <c r="BJ136" s="113">
        <v>0.55000000000000004</v>
      </c>
      <c r="BK136" s="341"/>
      <c r="BL136" s="341"/>
      <c r="BM136" s="44" t="s">
        <v>764</v>
      </c>
      <c r="BN136" s="27">
        <v>1</v>
      </c>
      <c r="BO136" s="27">
        <v>120</v>
      </c>
      <c r="BP136" s="27">
        <v>4</v>
      </c>
      <c r="BQ136" s="27">
        <v>480</v>
      </c>
      <c r="BR136" s="27">
        <v>314</v>
      </c>
      <c r="BS136" s="251" t="s">
        <v>1279</v>
      </c>
      <c r="BT136" s="27" t="s">
        <v>766</v>
      </c>
      <c r="BU136" s="248"/>
      <c r="BV136" s="248"/>
      <c r="BW136" s="248"/>
      <c r="BX136" s="1"/>
      <c r="BY136" s="1"/>
      <c r="BZ136" s="1"/>
      <c r="CA136" s="1"/>
      <c r="CB136" s="1"/>
      <c r="CC136" s="1"/>
      <c r="CD136" s="1"/>
      <c r="CE136" s="1"/>
    </row>
    <row r="137" spans="1:83" s="249" customFormat="1" x14ac:dyDescent="0.25">
      <c r="A137" s="184">
        <v>42083</v>
      </c>
      <c r="B137" s="184"/>
      <c r="C137" s="261" t="s">
        <v>1296</v>
      </c>
      <c r="D137" s="252" t="s">
        <v>60</v>
      </c>
      <c r="E137" s="252" t="s">
        <v>1271</v>
      </c>
      <c r="F137" s="260" t="s">
        <v>1297</v>
      </c>
      <c r="G137" s="260" t="s">
        <v>1297</v>
      </c>
      <c r="H137" s="251" t="s">
        <v>1298</v>
      </c>
      <c r="I137" s="264"/>
      <c r="J137" s="31"/>
      <c r="K137" s="25"/>
      <c r="L137" s="26"/>
      <c r="M137" s="26"/>
      <c r="N137" s="26"/>
      <c r="O137" s="254"/>
      <c r="P137" s="254"/>
      <c r="Q137" s="254"/>
      <c r="R137" s="254"/>
      <c r="S137" s="254"/>
      <c r="T137" s="262"/>
      <c r="U137" s="25"/>
      <c r="V137" s="33"/>
      <c r="W137" s="25"/>
      <c r="X137" s="33"/>
      <c r="Y137" s="250"/>
      <c r="Z137" s="33"/>
      <c r="AA137" s="25"/>
      <c r="AB137" s="25"/>
      <c r="AC137" s="158"/>
      <c r="AD137" s="31"/>
      <c r="AE137" s="31"/>
      <c r="AF137" s="31"/>
      <c r="AG137" s="31"/>
      <c r="AH137" s="31"/>
      <c r="AI137" s="31"/>
      <c r="AJ137" s="31"/>
      <c r="AK137" s="262"/>
      <c r="AL137" s="250"/>
      <c r="AM137" s="31"/>
      <c r="AN137" s="31"/>
      <c r="AO137" s="31"/>
      <c r="AP137" s="25"/>
      <c r="AQ137" s="25" t="s">
        <v>1299</v>
      </c>
      <c r="AR137" s="25">
        <v>180.13</v>
      </c>
      <c r="AS137" s="266" t="s">
        <v>1277</v>
      </c>
      <c r="AT137" s="267" t="s">
        <v>1278</v>
      </c>
      <c r="AU137" s="112"/>
      <c r="AV137" s="112"/>
      <c r="AW137" s="112"/>
      <c r="AX137" s="112">
        <v>1.63</v>
      </c>
      <c r="AY137" s="112">
        <v>3.54</v>
      </c>
      <c r="AZ137" s="38"/>
      <c r="BA137" s="396" t="s">
        <v>985</v>
      </c>
      <c r="BB137" s="396"/>
      <c r="BC137" s="396"/>
      <c r="BD137" s="396"/>
      <c r="BE137" s="396"/>
      <c r="BF137" s="113">
        <v>3.375</v>
      </c>
      <c r="BG137" s="113">
        <v>3.375</v>
      </c>
      <c r="BH137" s="113">
        <v>5</v>
      </c>
      <c r="BI137" s="111">
        <v>3.2958984375E-2</v>
      </c>
      <c r="BJ137" s="113">
        <v>1.85</v>
      </c>
      <c r="BK137" s="341"/>
      <c r="BL137" s="341"/>
      <c r="BM137" s="124" t="s">
        <v>764</v>
      </c>
      <c r="BN137" s="27">
        <v>1</v>
      </c>
      <c r="BO137" s="27">
        <v>357</v>
      </c>
      <c r="BP137" s="27">
        <v>9</v>
      </c>
      <c r="BQ137" s="27">
        <v>3213</v>
      </c>
      <c r="BR137" s="27">
        <v>5994.05</v>
      </c>
      <c r="BS137" s="251" t="s">
        <v>1279</v>
      </c>
      <c r="BT137" s="27" t="s">
        <v>766</v>
      </c>
      <c r="BU137" s="248"/>
      <c r="BV137" s="248"/>
      <c r="BW137" s="248"/>
      <c r="BX137" s="1"/>
      <c r="BY137" s="1"/>
      <c r="BZ137" s="1"/>
      <c r="CA137" s="1"/>
      <c r="CB137" s="1"/>
      <c r="CC137" s="1"/>
      <c r="CD137" s="1"/>
      <c r="CE137" s="1"/>
    </row>
    <row r="138" spans="1:83" s="249" customFormat="1" ht="30" x14ac:dyDescent="0.25">
      <c r="A138" s="184">
        <v>42083</v>
      </c>
      <c r="B138" s="184"/>
      <c r="C138" s="265" t="s">
        <v>1300</v>
      </c>
      <c r="D138" s="252" t="s">
        <v>60</v>
      </c>
      <c r="E138" s="252" t="s">
        <v>1301</v>
      </c>
      <c r="F138" s="260" t="s">
        <v>1302</v>
      </c>
      <c r="G138" s="264" t="s">
        <v>1303</v>
      </c>
      <c r="H138" s="31" t="s">
        <v>1304</v>
      </c>
      <c r="I138" s="264"/>
      <c r="J138" s="31"/>
      <c r="K138" s="25"/>
      <c r="L138" s="26"/>
      <c r="M138" s="26"/>
      <c r="N138" s="26"/>
      <c r="O138" s="254"/>
      <c r="P138" s="254"/>
      <c r="Q138" s="254"/>
      <c r="R138" s="254"/>
      <c r="S138" s="254"/>
      <c r="T138" s="254"/>
      <c r="U138" s="25"/>
      <c r="V138" s="33"/>
      <c r="W138" s="25"/>
      <c r="X138" s="33"/>
      <c r="Y138" s="250"/>
      <c r="Z138" s="33"/>
      <c r="AA138" s="25"/>
      <c r="AB138" s="25"/>
      <c r="AC138" s="158"/>
      <c r="AD138" s="31"/>
      <c r="AE138" s="31"/>
      <c r="AF138" s="31"/>
      <c r="AG138" s="31"/>
      <c r="AH138" s="31"/>
      <c r="AI138" s="31"/>
      <c r="AJ138" s="31"/>
      <c r="AK138" s="262"/>
      <c r="AL138" s="250"/>
      <c r="AM138" s="31"/>
      <c r="AN138" s="31"/>
      <c r="AO138" s="31"/>
      <c r="AP138" s="31"/>
      <c r="AQ138" s="25"/>
      <c r="AR138" s="209">
        <v>35.011929460580916</v>
      </c>
      <c r="AS138" s="256" t="s">
        <v>1305</v>
      </c>
      <c r="AT138" s="257">
        <v>10038568741551</v>
      </c>
      <c r="AU138" s="38"/>
      <c r="AV138" s="38"/>
      <c r="AW138" s="38"/>
      <c r="AX138" s="111">
        <v>2.76</v>
      </c>
      <c r="AY138" s="111">
        <v>5.22</v>
      </c>
      <c r="AZ138" s="111">
        <v>0.83</v>
      </c>
      <c r="BA138" s="399" t="s">
        <v>985</v>
      </c>
      <c r="BB138" s="399"/>
      <c r="BC138" s="399"/>
      <c r="BD138" s="399"/>
      <c r="BE138" s="399"/>
      <c r="BF138" s="259">
        <v>9.3800000000000008</v>
      </c>
      <c r="BG138" s="259">
        <v>6.5</v>
      </c>
      <c r="BH138" s="259">
        <v>7.38</v>
      </c>
      <c r="BI138" s="111">
        <v>0.26039270833333333</v>
      </c>
      <c r="BJ138" s="113">
        <v>1.4500000000000002</v>
      </c>
      <c r="BK138" s="341"/>
      <c r="BL138" s="341"/>
      <c r="BM138" s="251" t="s">
        <v>793</v>
      </c>
      <c r="BN138" s="251">
        <v>6</v>
      </c>
      <c r="BO138" s="251">
        <v>30</v>
      </c>
      <c r="BP138" s="251">
        <v>6</v>
      </c>
      <c r="BQ138" s="27">
        <v>1080</v>
      </c>
      <c r="BR138" s="27">
        <v>311.00000000000006</v>
      </c>
      <c r="BS138" s="251" t="s">
        <v>769</v>
      </c>
      <c r="BT138" s="27" t="s">
        <v>766</v>
      </c>
      <c r="BU138" s="248"/>
      <c r="BV138" s="248"/>
      <c r="BW138" s="248"/>
      <c r="BX138" s="1"/>
      <c r="BY138" s="1"/>
      <c r="BZ138" s="1"/>
      <c r="CA138" s="1"/>
      <c r="CB138" s="1"/>
      <c r="CC138" s="1"/>
      <c r="CD138" s="1"/>
      <c r="CE138" s="1"/>
    </row>
    <row r="139" spans="1:83" s="249" customFormat="1" ht="30" x14ac:dyDescent="0.25">
      <c r="A139" s="184">
        <v>42083</v>
      </c>
      <c r="B139" s="184"/>
      <c r="C139" s="268" t="s">
        <v>1306</v>
      </c>
      <c r="D139" s="252" t="s">
        <v>60</v>
      </c>
      <c r="E139" s="252" t="s">
        <v>1301</v>
      </c>
      <c r="F139" s="218" t="s">
        <v>1307</v>
      </c>
      <c r="G139" s="264" t="s">
        <v>963</v>
      </c>
      <c r="H139" s="31" t="s">
        <v>1308</v>
      </c>
      <c r="I139" s="264" t="s">
        <v>720</v>
      </c>
      <c r="J139" s="31" t="s">
        <v>1309</v>
      </c>
      <c r="K139" s="25"/>
      <c r="L139" s="26"/>
      <c r="M139" s="26"/>
      <c r="N139" s="26"/>
      <c r="O139" s="254"/>
      <c r="P139" s="254"/>
      <c r="Q139" s="254"/>
      <c r="R139" s="254"/>
      <c r="S139" s="254"/>
      <c r="T139" s="254"/>
      <c r="U139" s="25" t="s">
        <v>1310</v>
      </c>
      <c r="V139" s="33"/>
      <c r="W139" s="25"/>
      <c r="X139" s="33"/>
      <c r="Y139" s="25" t="s">
        <v>1311</v>
      </c>
      <c r="Z139" s="33"/>
      <c r="AA139" s="25" t="s">
        <v>1312</v>
      </c>
      <c r="AB139" s="25" t="s">
        <v>1313</v>
      </c>
      <c r="AC139" s="158"/>
      <c r="AD139" s="31"/>
      <c r="AE139" s="31"/>
      <c r="AF139" s="31"/>
      <c r="AG139" s="31"/>
      <c r="AH139" s="31"/>
      <c r="AI139" s="31"/>
      <c r="AJ139" s="31"/>
      <c r="AK139" s="262"/>
      <c r="AL139" s="250"/>
      <c r="AM139" s="31"/>
      <c r="AN139" s="31"/>
      <c r="AO139" s="31"/>
      <c r="AP139" s="31"/>
      <c r="AQ139" s="25">
        <v>57899</v>
      </c>
      <c r="AR139" s="255">
        <v>8.25</v>
      </c>
      <c r="AS139" s="256" t="s">
        <v>1314</v>
      </c>
      <c r="AT139" s="257">
        <v>10038568742176</v>
      </c>
      <c r="AU139" s="38"/>
      <c r="AV139" s="38"/>
      <c r="AW139" s="38"/>
      <c r="AX139" s="111">
        <v>3.65</v>
      </c>
      <c r="AY139" s="111">
        <v>3.6360000000000001</v>
      </c>
      <c r="AZ139" s="111">
        <v>2.4209999999999998</v>
      </c>
      <c r="BA139" s="113">
        <v>3.8460000000000001</v>
      </c>
      <c r="BB139" s="113">
        <v>3.8460000000000001</v>
      </c>
      <c r="BC139" s="113">
        <v>4.0720000000000001</v>
      </c>
      <c r="BD139" s="111">
        <v>3.4856404833333333E-2</v>
      </c>
      <c r="BE139" s="113">
        <v>0.99</v>
      </c>
      <c r="BF139" s="259">
        <v>15.81</v>
      </c>
      <c r="BG139" s="259">
        <v>11.93</v>
      </c>
      <c r="BH139" s="259">
        <v>4.62</v>
      </c>
      <c r="BI139" s="111">
        <v>0.50427861458333334</v>
      </c>
      <c r="BJ139" s="113">
        <v>12.129999999999999</v>
      </c>
      <c r="BK139" s="341"/>
      <c r="BL139" s="341"/>
      <c r="BM139" s="251" t="s">
        <v>793</v>
      </c>
      <c r="BN139" s="251">
        <v>12</v>
      </c>
      <c r="BO139" s="251">
        <v>10</v>
      </c>
      <c r="BP139" s="251">
        <v>9</v>
      </c>
      <c r="BQ139" s="27">
        <v>1080</v>
      </c>
      <c r="BR139" s="27">
        <v>1141.6999999999998</v>
      </c>
      <c r="BS139" s="251" t="s">
        <v>886</v>
      </c>
      <c r="BT139" s="27" t="s">
        <v>766</v>
      </c>
      <c r="BU139" s="248"/>
      <c r="BV139" s="248"/>
      <c r="BW139" s="248"/>
      <c r="BX139" s="1"/>
      <c r="BY139" s="1"/>
      <c r="BZ139" s="1"/>
      <c r="CA139" s="1"/>
      <c r="CB139" s="1"/>
      <c r="CC139" s="1"/>
      <c r="CD139" s="1"/>
      <c r="CE139" s="1"/>
    </row>
    <row r="140" spans="1:83" s="249" customFormat="1" ht="30" x14ac:dyDescent="0.25">
      <c r="A140" s="184">
        <v>42083</v>
      </c>
      <c r="B140" s="184"/>
      <c r="C140" s="268" t="s">
        <v>1315</v>
      </c>
      <c r="D140" s="252" t="s">
        <v>60</v>
      </c>
      <c r="E140" s="252" t="s">
        <v>1301</v>
      </c>
      <c r="F140" s="218" t="s">
        <v>1316</v>
      </c>
      <c r="G140" s="264" t="s">
        <v>720</v>
      </c>
      <c r="H140" s="31" t="s">
        <v>1317</v>
      </c>
      <c r="I140" s="264" t="s">
        <v>49</v>
      </c>
      <c r="J140" s="31" t="s">
        <v>1318</v>
      </c>
      <c r="K140" s="25"/>
      <c r="L140" s="26"/>
      <c r="M140" s="26"/>
      <c r="N140" s="26"/>
      <c r="O140" s="254"/>
      <c r="P140" s="254"/>
      <c r="Q140" s="254"/>
      <c r="R140" s="254"/>
      <c r="S140" s="254"/>
      <c r="T140" s="254"/>
      <c r="U140" s="25" t="s">
        <v>1319</v>
      </c>
      <c r="V140" s="33"/>
      <c r="W140" s="25"/>
      <c r="X140" s="33"/>
      <c r="Y140" s="250" t="s">
        <v>1320</v>
      </c>
      <c r="Z140" s="33"/>
      <c r="AA140" s="25" t="s">
        <v>1321</v>
      </c>
      <c r="AB140" s="25" t="s">
        <v>1322</v>
      </c>
      <c r="AC140" s="158"/>
      <c r="AD140" s="31"/>
      <c r="AE140" s="31"/>
      <c r="AF140" s="31"/>
      <c r="AG140" s="31"/>
      <c r="AH140" s="31"/>
      <c r="AI140" s="31"/>
      <c r="AJ140" s="31"/>
      <c r="AK140" s="262"/>
      <c r="AL140" s="250"/>
      <c r="AM140" s="31"/>
      <c r="AN140" s="31"/>
      <c r="AO140" s="31"/>
      <c r="AP140" s="31"/>
      <c r="AQ140" s="25">
        <v>57301</v>
      </c>
      <c r="AR140" s="255">
        <v>8.9499999999999993</v>
      </c>
      <c r="AS140" s="256" t="s">
        <v>1323</v>
      </c>
      <c r="AT140" s="257">
        <v>10038568742237</v>
      </c>
      <c r="AU140" s="38"/>
      <c r="AV140" s="38"/>
      <c r="AW140" s="38"/>
      <c r="AX140" s="111">
        <v>2.96</v>
      </c>
      <c r="AY140" s="111">
        <v>4.8159999999999998</v>
      </c>
      <c r="AZ140" s="111">
        <v>2.39</v>
      </c>
      <c r="BA140" s="113">
        <v>3.1859999999999999</v>
      </c>
      <c r="BB140" s="113">
        <v>3.1920000000000002</v>
      </c>
      <c r="BC140" s="113">
        <v>4.9470000000000001</v>
      </c>
      <c r="BD140" s="111">
        <v>2.911433175E-2</v>
      </c>
      <c r="BE140" s="113">
        <v>0.77</v>
      </c>
      <c r="BF140" s="259">
        <v>13.25</v>
      </c>
      <c r="BG140" s="259">
        <v>10</v>
      </c>
      <c r="BH140" s="259">
        <v>5.5</v>
      </c>
      <c r="BI140" s="111">
        <v>0.42173032407407407</v>
      </c>
      <c r="BJ140" s="113">
        <v>9.49</v>
      </c>
      <c r="BK140" s="341"/>
      <c r="BL140" s="341"/>
      <c r="BM140" s="251" t="s">
        <v>793</v>
      </c>
      <c r="BN140" s="251">
        <v>12</v>
      </c>
      <c r="BO140" s="251">
        <v>14</v>
      </c>
      <c r="BP140" s="251">
        <v>8</v>
      </c>
      <c r="BQ140" s="27">
        <v>1344</v>
      </c>
      <c r="BR140" s="27">
        <v>1112.8800000000001</v>
      </c>
      <c r="BS140" s="251" t="s">
        <v>886</v>
      </c>
      <c r="BT140" s="27" t="s">
        <v>766</v>
      </c>
      <c r="BU140" s="248"/>
      <c r="BV140" s="248"/>
      <c r="BW140" s="248"/>
      <c r="BX140" s="1"/>
      <c r="BY140" s="1"/>
      <c r="BZ140" s="1"/>
      <c r="CA140" s="1"/>
      <c r="CB140" s="1"/>
      <c r="CC140" s="1"/>
      <c r="CD140" s="1"/>
      <c r="CE140" s="1"/>
    </row>
    <row r="141" spans="1:83" s="125" customFormat="1" x14ac:dyDescent="0.25">
      <c r="A141" s="261"/>
      <c r="B141" s="261"/>
      <c r="C141" s="269" t="s">
        <v>1324</v>
      </c>
      <c r="D141" s="270"/>
      <c r="E141" s="270"/>
      <c r="F141" s="270"/>
      <c r="G141" s="270"/>
      <c r="H141" s="27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  <c r="AP141" s="261"/>
      <c r="AQ141" s="261"/>
      <c r="AR141" s="272"/>
      <c r="AS141" s="261"/>
      <c r="AT141" s="261"/>
      <c r="AU141" s="261"/>
      <c r="AV141" s="261"/>
      <c r="AW141" s="261"/>
      <c r="AX141" s="261"/>
      <c r="AY141" s="261"/>
      <c r="AZ141" s="261"/>
      <c r="BA141" s="250"/>
      <c r="BB141" s="250"/>
      <c r="BC141" s="250"/>
      <c r="BD141" s="261"/>
      <c r="BE141" s="250"/>
      <c r="BF141" s="250"/>
      <c r="BG141" s="250"/>
      <c r="BH141" s="250"/>
      <c r="BI141" s="261"/>
      <c r="BJ141" s="250"/>
      <c r="BK141" s="250"/>
      <c r="BL141" s="250"/>
      <c r="BM141" s="261"/>
      <c r="BN141" s="261"/>
      <c r="BO141" s="261"/>
      <c r="BP141" s="261"/>
      <c r="BQ141" s="261"/>
      <c r="BR141" s="261"/>
      <c r="BS141" s="261"/>
      <c r="BT141" s="271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</row>
    <row r="142" spans="1:83" s="249" customFormat="1" ht="15" customHeight="1" x14ac:dyDescent="0.25">
      <c r="A142" s="184">
        <v>42051</v>
      </c>
      <c r="B142" s="184"/>
      <c r="C142" s="250" t="s">
        <v>1325</v>
      </c>
      <c r="D142" s="252" t="s">
        <v>60</v>
      </c>
      <c r="E142" s="252" t="s">
        <v>1211</v>
      </c>
      <c r="F142" s="260" t="s">
        <v>1326</v>
      </c>
      <c r="G142" s="264" t="s">
        <v>1327</v>
      </c>
      <c r="H142" s="31" t="s">
        <v>1328</v>
      </c>
      <c r="I142" s="264"/>
      <c r="J142" s="31"/>
      <c r="K142" s="25"/>
      <c r="L142" s="26"/>
      <c r="M142" s="26"/>
      <c r="N142" s="26"/>
      <c r="O142" s="254"/>
      <c r="P142" s="254"/>
      <c r="Q142" s="254"/>
      <c r="R142" s="254"/>
      <c r="S142" s="254"/>
      <c r="T142" s="254"/>
      <c r="U142" s="25"/>
      <c r="V142" s="33"/>
      <c r="W142" s="25"/>
      <c r="X142" s="33"/>
      <c r="Y142" s="250"/>
      <c r="Z142" s="33"/>
      <c r="AA142" s="25" t="s">
        <v>1329</v>
      </c>
      <c r="AB142" s="25"/>
      <c r="AC142" s="31"/>
      <c r="AD142" s="31"/>
      <c r="AE142" s="31"/>
      <c r="AF142" s="31"/>
      <c r="AG142" s="31"/>
      <c r="AH142" s="31"/>
      <c r="AI142" s="31"/>
      <c r="AJ142" s="31"/>
      <c r="AK142" s="262"/>
      <c r="AL142" s="31"/>
      <c r="AM142" s="31"/>
      <c r="AN142" s="31"/>
      <c r="AO142" s="31"/>
      <c r="AP142" s="31"/>
      <c r="AQ142" s="25">
        <v>49227</v>
      </c>
      <c r="AR142" s="273">
        <v>16.940000000000001</v>
      </c>
      <c r="AS142" s="256" t="s">
        <v>1330</v>
      </c>
      <c r="AT142" s="257">
        <v>10038568740400</v>
      </c>
      <c r="AU142" s="112">
        <v>6.67</v>
      </c>
      <c r="AV142" s="112">
        <v>6.67</v>
      </c>
      <c r="AW142" s="112">
        <v>3.19</v>
      </c>
      <c r="AX142" s="38"/>
      <c r="AY142" s="38"/>
      <c r="AZ142" s="38"/>
      <c r="BA142" s="399" t="s">
        <v>985</v>
      </c>
      <c r="BB142" s="399"/>
      <c r="BC142" s="399"/>
      <c r="BD142" s="399"/>
      <c r="BE142" s="399"/>
      <c r="BF142" s="259">
        <f>8.75+(0.125*2)</f>
        <v>9</v>
      </c>
      <c r="BG142" s="259">
        <f>8.75+(0.125*2)</f>
        <v>9</v>
      </c>
      <c r="BH142" s="259">
        <f>4+(0.125*4)</f>
        <v>4.5</v>
      </c>
      <c r="BI142" s="111">
        <f t="shared" ref="BI142:BI168" si="43">(BH142*BG142*BF142)/1728</f>
        <v>0.2109375</v>
      </c>
      <c r="BJ142" s="113">
        <f>1.5+0.25</f>
        <v>1.75</v>
      </c>
      <c r="BK142" s="341"/>
      <c r="BL142" s="341"/>
      <c r="BM142" s="251" t="s">
        <v>793</v>
      </c>
      <c r="BN142" s="251">
        <v>1</v>
      </c>
      <c r="BO142" s="251">
        <v>20</v>
      </c>
      <c r="BP142" s="251">
        <v>9</v>
      </c>
      <c r="BQ142" s="27">
        <f t="shared" ref="BQ142:BQ168" si="44">BN142*BO142*BP142</f>
        <v>180</v>
      </c>
      <c r="BR142" s="27">
        <f t="shared" ref="BR142:BR161" si="45">(BJ142*BO142*BP142)+50</f>
        <v>365</v>
      </c>
      <c r="BS142" s="251" t="s">
        <v>1331</v>
      </c>
      <c r="BT142" s="27" t="s">
        <v>766</v>
      </c>
      <c r="BU142" s="248"/>
      <c r="BV142" s="248"/>
      <c r="BW142" s="248"/>
      <c r="BX142" s="1"/>
      <c r="BY142" s="1"/>
      <c r="BZ142" s="1"/>
      <c r="CA142" s="1"/>
      <c r="CB142" s="1"/>
      <c r="CC142" s="1"/>
      <c r="CD142" s="1"/>
      <c r="CE142" s="1"/>
    </row>
    <row r="143" spans="1:83" s="249" customFormat="1" x14ac:dyDescent="0.25">
      <c r="A143" s="184">
        <v>42051</v>
      </c>
      <c r="B143" s="184"/>
      <c r="C143" s="250" t="s">
        <v>1332</v>
      </c>
      <c r="D143" s="252" t="s">
        <v>60</v>
      </c>
      <c r="E143" s="252" t="s">
        <v>1333</v>
      </c>
      <c r="F143" s="260" t="s">
        <v>1334</v>
      </c>
      <c r="G143" s="264" t="s">
        <v>1335</v>
      </c>
      <c r="H143" s="31" t="s">
        <v>1336</v>
      </c>
      <c r="I143" s="264"/>
      <c r="J143" s="31"/>
      <c r="K143" s="25"/>
      <c r="L143" s="26"/>
      <c r="M143" s="26"/>
      <c r="N143" s="26"/>
      <c r="O143" s="254"/>
      <c r="P143" s="254"/>
      <c r="Q143" s="254"/>
      <c r="R143" s="254"/>
      <c r="S143" s="254"/>
      <c r="T143" s="254"/>
      <c r="U143" s="25" t="s">
        <v>1337</v>
      </c>
      <c r="V143" s="33"/>
      <c r="W143" s="25"/>
      <c r="X143" s="33"/>
      <c r="Y143" s="250"/>
      <c r="Z143" s="33"/>
      <c r="AA143" s="25"/>
      <c r="AB143" s="25"/>
      <c r="AC143" s="31"/>
      <c r="AD143" s="31"/>
      <c r="AE143" s="31"/>
      <c r="AF143" s="31"/>
      <c r="AG143" s="31"/>
      <c r="AH143" s="31"/>
      <c r="AI143" s="31"/>
      <c r="AJ143" s="31"/>
      <c r="AK143" s="262"/>
      <c r="AL143" s="31"/>
      <c r="AM143" s="31"/>
      <c r="AN143" s="31"/>
      <c r="AO143" s="31"/>
      <c r="AP143" s="31"/>
      <c r="AQ143" s="25"/>
      <c r="AR143" s="273">
        <v>45.09</v>
      </c>
      <c r="AS143" s="256" t="s">
        <v>1338</v>
      </c>
      <c r="AT143" s="257">
        <v>10038568741544</v>
      </c>
      <c r="AU143" s="112">
        <v>13.54</v>
      </c>
      <c r="AV143" s="112">
        <v>9.09</v>
      </c>
      <c r="AW143" s="112">
        <v>0.71</v>
      </c>
      <c r="AX143" s="38"/>
      <c r="AY143" s="38"/>
      <c r="AZ143" s="38"/>
      <c r="BA143" s="113">
        <v>14.5</v>
      </c>
      <c r="BB143" s="113">
        <v>11</v>
      </c>
      <c r="BC143" s="113">
        <v>3.62</v>
      </c>
      <c r="BD143" s="111">
        <f t="shared" ref="BD143:BD154" si="46">(BC143*BB143*BA143)/1728</f>
        <v>0.33413773148148146</v>
      </c>
      <c r="BE143" s="113">
        <f>0.4</f>
        <v>0.4</v>
      </c>
      <c r="BF143" s="259">
        <f>14.5+(0.125*2)</f>
        <v>14.75</v>
      </c>
      <c r="BG143" s="259">
        <f>11+(0.125*2)</f>
        <v>11.25</v>
      </c>
      <c r="BH143" s="259">
        <f>3.62+(0.125*4)</f>
        <v>4.12</v>
      </c>
      <c r="BI143" s="111">
        <f t="shared" si="43"/>
        <v>0.39563802083333333</v>
      </c>
      <c r="BJ143" s="113">
        <f>(BE143*3)+0.25</f>
        <v>1.4500000000000002</v>
      </c>
      <c r="BK143" s="341"/>
      <c r="BL143" s="341"/>
      <c r="BM143" s="251" t="s">
        <v>793</v>
      </c>
      <c r="BN143" s="251">
        <v>3</v>
      </c>
      <c r="BO143" s="251">
        <v>10</v>
      </c>
      <c r="BP143" s="251">
        <v>10</v>
      </c>
      <c r="BQ143" s="27">
        <f t="shared" si="44"/>
        <v>300</v>
      </c>
      <c r="BR143" s="27">
        <f t="shared" si="45"/>
        <v>195.00000000000003</v>
      </c>
      <c r="BS143" s="251" t="s">
        <v>769</v>
      </c>
      <c r="BT143" s="27" t="s">
        <v>766</v>
      </c>
      <c r="BU143" s="248"/>
      <c r="BV143" s="248"/>
      <c r="BW143" s="248"/>
      <c r="BX143" s="1"/>
      <c r="BY143" s="1"/>
      <c r="BZ143" s="1"/>
      <c r="CA143" s="1"/>
      <c r="CB143" s="1"/>
      <c r="CC143" s="1"/>
      <c r="CD143" s="1"/>
      <c r="CE143" s="1"/>
    </row>
    <row r="144" spans="1:83" s="249" customFormat="1" x14ac:dyDescent="0.25">
      <c r="A144" s="184">
        <v>42051</v>
      </c>
      <c r="B144" s="184"/>
      <c r="C144" s="250" t="s">
        <v>1339</v>
      </c>
      <c r="D144" s="252" t="s">
        <v>1210</v>
      </c>
      <c r="E144" s="252" t="s">
        <v>1211</v>
      </c>
      <c r="F144" s="260" t="s">
        <v>1340</v>
      </c>
      <c r="G144" s="264" t="s">
        <v>737</v>
      </c>
      <c r="H144" s="31">
        <v>96950990</v>
      </c>
      <c r="I144" s="264"/>
      <c r="J144" s="31"/>
      <c r="K144" s="25"/>
      <c r="L144" s="26"/>
      <c r="M144" s="26"/>
      <c r="N144" s="26"/>
      <c r="O144" s="254"/>
      <c r="P144" s="254"/>
      <c r="Q144" s="254"/>
      <c r="R144" s="254"/>
      <c r="S144" s="254"/>
      <c r="T144" s="254"/>
      <c r="U144" s="25"/>
      <c r="V144" s="33"/>
      <c r="W144" s="25"/>
      <c r="X144" s="33"/>
      <c r="Y144" s="250"/>
      <c r="Z144" s="33"/>
      <c r="AA144" s="25"/>
      <c r="AB144" s="25" t="s">
        <v>1341</v>
      </c>
      <c r="AC144" s="158"/>
      <c r="AD144" s="31"/>
      <c r="AE144" s="31" t="s">
        <v>1342</v>
      </c>
      <c r="AF144" s="31"/>
      <c r="AG144" s="31"/>
      <c r="AH144" s="31"/>
      <c r="AI144" s="31" t="s">
        <v>1339</v>
      </c>
      <c r="AJ144" s="31"/>
      <c r="AK144" s="262"/>
      <c r="AL144" s="250" t="s">
        <v>1343</v>
      </c>
      <c r="AM144" s="31" t="s">
        <v>1344</v>
      </c>
      <c r="AN144" s="31" t="s">
        <v>1345</v>
      </c>
      <c r="AO144" s="31"/>
      <c r="AP144" s="31" t="s">
        <v>1346</v>
      </c>
      <c r="AQ144" s="25">
        <v>49590</v>
      </c>
      <c r="AR144" s="255">
        <v>29.58</v>
      </c>
      <c r="AS144" s="256" t="s">
        <v>1347</v>
      </c>
      <c r="AT144" s="257">
        <v>10038568742343</v>
      </c>
      <c r="AU144" s="112">
        <v>9.49</v>
      </c>
      <c r="AV144" s="112">
        <v>6.73</v>
      </c>
      <c r="AW144" s="112">
        <v>1.99</v>
      </c>
      <c r="AX144" s="38"/>
      <c r="AY144" s="38"/>
      <c r="AZ144" s="38"/>
      <c r="BA144" s="113">
        <f>7.44+(0.018*2)</f>
        <v>7.476</v>
      </c>
      <c r="BB144" s="113">
        <f>2.75+(0.018*2)</f>
        <v>2.786</v>
      </c>
      <c r="BC144" s="113">
        <f>9.5+(0.018*4)</f>
        <v>9.5719999999999992</v>
      </c>
      <c r="BD144" s="111">
        <f t="shared" si="46"/>
        <v>0.11537437372222221</v>
      </c>
      <c r="BE144" s="113">
        <f>0.403+0.1</f>
        <v>0.503</v>
      </c>
      <c r="BF144" s="259">
        <f>10+(0.125*2)</f>
        <v>10.25</v>
      </c>
      <c r="BG144" s="259">
        <f>7.5+(0.125*2)</f>
        <v>7.75</v>
      </c>
      <c r="BH144" s="259">
        <f>10+(0.125*4)</f>
        <v>10.5</v>
      </c>
      <c r="BI144" s="111">
        <f t="shared" si="43"/>
        <v>0.4826931423611111</v>
      </c>
      <c r="BJ144" s="113">
        <f>(BE144*3)+0.25</f>
        <v>1.7589999999999999</v>
      </c>
      <c r="BK144" s="341"/>
      <c r="BL144" s="341"/>
      <c r="BM144" s="251" t="s">
        <v>793</v>
      </c>
      <c r="BN144" s="251">
        <v>3</v>
      </c>
      <c r="BO144" s="251">
        <v>22</v>
      </c>
      <c r="BP144" s="251">
        <v>4</v>
      </c>
      <c r="BQ144" s="27">
        <f t="shared" si="44"/>
        <v>264</v>
      </c>
      <c r="BR144" s="27">
        <f t="shared" si="45"/>
        <v>204.792</v>
      </c>
      <c r="BS144" s="251" t="s">
        <v>765</v>
      </c>
      <c r="BT144" s="27" t="s">
        <v>766</v>
      </c>
      <c r="BU144" s="248"/>
      <c r="BV144" s="248"/>
      <c r="BW144" s="248"/>
      <c r="BX144" s="1"/>
      <c r="BY144" s="1"/>
      <c r="BZ144" s="1"/>
      <c r="CA144" s="1"/>
      <c r="CB144" s="1"/>
      <c r="CC144" s="1"/>
      <c r="CD144" s="1"/>
      <c r="CE144" s="1"/>
    </row>
    <row r="145" spans="1:83" s="249" customFormat="1" ht="30" x14ac:dyDescent="0.25">
      <c r="A145" s="184">
        <v>42030</v>
      </c>
      <c r="B145" s="184"/>
      <c r="C145" s="250" t="s">
        <v>1348</v>
      </c>
      <c r="D145" s="252" t="s">
        <v>60</v>
      </c>
      <c r="E145" s="252" t="s">
        <v>1349</v>
      </c>
      <c r="F145" s="260" t="s">
        <v>1350</v>
      </c>
      <c r="G145" s="264" t="s">
        <v>1351</v>
      </c>
      <c r="H145" s="31" t="s">
        <v>1352</v>
      </c>
      <c r="I145" s="264" t="s">
        <v>1351</v>
      </c>
      <c r="J145" s="31">
        <v>1521527</v>
      </c>
      <c r="K145" s="25"/>
      <c r="L145" s="26"/>
      <c r="M145" s="26"/>
      <c r="N145" s="26"/>
      <c r="O145" s="254"/>
      <c r="P145" s="254"/>
      <c r="Q145" s="254"/>
      <c r="R145" s="254"/>
      <c r="S145" s="254"/>
      <c r="T145" s="254"/>
      <c r="U145" s="25" t="s">
        <v>1353</v>
      </c>
      <c r="V145" s="33"/>
      <c r="W145" s="25"/>
      <c r="X145" s="33"/>
      <c r="Y145" s="250" t="s">
        <v>1354</v>
      </c>
      <c r="Z145" s="33"/>
      <c r="AA145" s="25" t="s">
        <v>1355</v>
      </c>
      <c r="AB145" s="25"/>
      <c r="AC145" s="31"/>
      <c r="AD145" s="31" t="s">
        <v>1356</v>
      </c>
      <c r="AE145" s="31"/>
      <c r="AF145" s="31"/>
      <c r="AG145" s="31"/>
      <c r="AH145" s="31"/>
      <c r="AI145" s="31"/>
      <c r="AJ145" s="31"/>
      <c r="AK145" s="262"/>
      <c r="AL145" s="31"/>
      <c r="AM145" s="31"/>
      <c r="AN145" s="31"/>
      <c r="AO145" s="31"/>
      <c r="AP145" s="31"/>
      <c r="AQ145" s="25"/>
      <c r="AR145" s="273">
        <v>17.7</v>
      </c>
      <c r="AS145" s="256" t="s">
        <v>1357</v>
      </c>
      <c r="AT145" s="257">
        <v>10038568737998</v>
      </c>
      <c r="AU145" s="38"/>
      <c r="AV145" s="36"/>
      <c r="AW145" s="36"/>
      <c r="AX145" s="111">
        <v>2.52</v>
      </c>
      <c r="AY145" s="111">
        <v>5.75</v>
      </c>
      <c r="AZ145" s="111">
        <v>1.06</v>
      </c>
      <c r="BA145" s="113">
        <f>3.0625+(0.018*2)</f>
        <v>3.0985</v>
      </c>
      <c r="BB145" s="113">
        <f>3.0625+(0.018*2)</f>
        <v>3.0985</v>
      </c>
      <c r="BC145" s="113">
        <f>6.75+(0.018*4)</f>
        <v>6.8220000000000001</v>
      </c>
      <c r="BD145" s="111">
        <f t="shared" si="46"/>
        <v>3.7902772424479161E-2</v>
      </c>
      <c r="BE145" s="113">
        <f>0.16+0.1</f>
        <v>0.26</v>
      </c>
      <c r="BF145" s="259">
        <f>12.8125+(0.125*2)</f>
        <v>13.0625</v>
      </c>
      <c r="BG145" s="259">
        <f>9.625+(0.125*2)</f>
        <v>9.875</v>
      </c>
      <c r="BH145" s="259">
        <f>6.875+(0.125*4)</f>
        <v>7.375</v>
      </c>
      <c r="BI145" s="111">
        <f t="shared" si="43"/>
        <v>0.55053089283130785</v>
      </c>
      <c r="BJ145" s="113">
        <f>(BE145*12)+0.25</f>
        <v>3.37</v>
      </c>
      <c r="BK145" s="341"/>
      <c r="BL145" s="341"/>
      <c r="BM145" s="251" t="s">
        <v>793</v>
      </c>
      <c r="BN145" s="251">
        <v>12</v>
      </c>
      <c r="BO145" s="251">
        <v>14</v>
      </c>
      <c r="BP145" s="251">
        <v>6</v>
      </c>
      <c r="BQ145" s="27">
        <f t="shared" si="44"/>
        <v>1008</v>
      </c>
      <c r="BR145" s="27">
        <f t="shared" si="45"/>
        <v>333.08</v>
      </c>
      <c r="BS145" s="251" t="s">
        <v>886</v>
      </c>
      <c r="BT145" s="27" t="s">
        <v>766</v>
      </c>
      <c r="BU145" s="248"/>
      <c r="BV145" s="248"/>
      <c r="BW145" s="248"/>
      <c r="BX145" s="1"/>
      <c r="BY145" s="1"/>
      <c r="BZ145" s="1"/>
      <c r="CA145" s="1"/>
      <c r="CB145" s="1"/>
      <c r="CC145" s="1"/>
      <c r="CD145" s="1"/>
      <c r="CE145" s="1"/>
    </row>
    <row r="146" spans="1:83" s="249" customFormat="1" x14ac:dyDescent="0.25">
      <c r="A146" s="184">
        <v>42030</v>
      </c>
      <c r="B146" s="184"/>
      <c r="C146" s="250" t="s">
        <v>1358</v>
      </c>
      <c r="D146" s="252" t="s">
        <v>60</v>
      </c>
      <c r="E146" s="252" t="s">
        <v>1211</v>
      </c>
      <c r="F146" s="260" t="s">
        <v>1359</v>
      </c>
      <c r="G146" s="264" t="s">
        <v>1360</v>
      </c>
      <c r="H146" s="31" t="s">
        <v>1361</v>
      </c>
      <c r="I146" s="264"/>
      <c r="J146" s="31"/>
      <c r="K146" s="25"/>
      <c r="L146" s="26"/>
      <c r="M146" s="26"/>
      <c r="N146" s="26"/>
      <c r="O146" s="254"/>
      <c r="P146" s="254"/>
      <c r="Q146" s="254"/>
      <c r="R146" s="254"/>
      <c r="S146" s="254"/>
      <c r="T146" s="254"/>
      <c r="U146" s="25" t="s">
        <v>1362</v>
      </c>
      <c r="V146" s="33"/>
      <c r="W146" s="25"/>
      <c r="X146" s="33"/>
      <c r="Y146" s="250"/>
      <c r="Z146" s="33"/>
      <c r="AA146" s="25" t="s">
        <v>1363</v>
      </c>
      <c r="AB146" s="25" t="s">
        <v>1364</v>
      </c>
      <c r="AC146" s="31"/>
      <c r="AD146" s="31"/>
      <c r="AE146" s="31"/>
      <c r="AF146" s="31"/>
      <c r="AG146" s="31"/>
      <c r="AH146" s="31"/>
      <c r="AI146" s="31"/>
      <c r="AJ146" s="31"/>
      <c r="AK146" s="262"/>
      <c r="AL146" s="31"/>
      <c r="AM146" s="31"/>
      <c r="AN146" s="31"/>
      <c r="AO146" s="31"/>
      <c r="AP146" s="31"/>
      <c r="AQ146" s="25" t="s">
        <v>1365</v>
      </c>
      <c r="AR146" s="273">
        <v>21.98</v>
      </c>
      <c r="AS146" s="256" t="s">
        <v>1366</v>
      </c>
      <c r="AT146" s="257">
        <v>10038568740417</v>
      </c>
      <c r="AU146" s="112">
        <v>10.26</v>
      </c>
      <c r="AV146" s="112">
        <v>5.57</v>
      </c>
      <c r="AW146" s="112">
        <v>0.77</v>
      </c>
      <c r="AX146" s="38"/>
      <c r="AY146" s="38"/>
      <c r="AZ146" s="38"/>
      <c r="BA146" s="113">
        <v>10.26</v>
      </c>
      <c r="BB146" s="113">
        <v>5.57</v>
      </c>
      <c r="BC146" s="113">
        <v>0.77</v>
      </c>
      <c r="BD146" s="111">
        <f t="shared" si="46"/>
        <v>2.5465343750000001E-2</v>
      </c>
      <c r="BE146" s="113">
        <f>0.2+0.1</f>
        <v>0.30000000000000004</v>
      </c>
      <c r="BF146" s="259">
        <f>10.5+(0.125*2)</f>
        <v>10.75</v>
      </c>
      <c r="BG146" s="259">
        <f>7+(0.125*2)</f>
        <v>7.25</v>
      </c>
      <c r="BH146" s="259">
        <f>4.12+(0.125*4)</f>
        <v>4.62</v>
      </c>
      <c r="BI146" s="111">
        <f t="shared" si="43"/>
        <v>0.2083745659722222</v>
      </c>
      <c r="BJ146" s="113">
        <f>(BE146*3)+0.25</f>
        <v>1.1500000000000001</v>
      </c>
      <c r="BK146" s="341"/>
      <c r="BL146" s="341"/>
      <c r="BM146" s="251" t="s">
        <v>793</v>
      </c>
      <c r="BN146" s="251">
        <v>3</v>
      </c>
      <c r="BO146" s="251">
        <v>20</v>
      </c>
      <c r="BP146" s="251">
        <v>11</v>
      </c>
      <c r="BQ146" s="27">
        <f t="shared" si="44"/>
        <v>660</v>
      </c>
      <c r="BR146" s="27">
        <f t="shared" si="45"/>
        <v>303</v>
      </c>
      <c r="BS146" s="251" t="s">
        <v>769</v>
      </c>
      <c r="BT146" s="27" t="s">
        <v>766</v>
      </c>
      <c r="BU146" s="248"/>
      <c r="BV146" s="248"/>
      <c r="BW146" s="248"/>
      <c r="BX146" s="1"/>
      <c r="BY146" s="1"/>
      <c r="BZ146" s="1"/>
      <c r="CA146" s="1"/>
      <c r="CB146" s="1"/>
      <c r="CC146" s="1"/>
      <c r="CD146" s="1"/>
      <c r="CE146" s="1"/>
    </row>
    <row r="147" spans="1:83" s="249" customFormat="1" ht="30" x14ac:dyDescent="0.25">
      <c r="A147" s="184">
        <v>42030</v>
      </c>
      <c r="B147" s="184"/>
      <c r="C147" s="250" t="s">
        <v>1367</v>
      </c>
      <c r="D147" s="252" t="s">
        <v>60</v>
      </c>
      <c r="E147" s="252"/>
      <c r="F147" s="260" t="s">
        <v>1368</v>
      </c>
      <c r="G147" s="264" t="s">
        <v>1369</v>
      </c>
      <c r="H147" s="31"/>
      <c r="I147" s="264"/>
      <c r="J147" s="31"/>
      <c r="K147" s="25"/>
      <c r="L147" s="26"/>
      <c r="M147" s="26"/>
      <c r="N147" s="26"/>
      <c r="O147" s="254"/>
      <c r="P147" s="254"/>
      <c r="Q147" s="254"/>
      <c r="R147" s="254"/>
      <c r="S147" s="254"/>
      <c r="T147" s="254"/>
      <c r="U147" s="25"/>
      <c r="V147" s="33"/>
      <c r="W147" s="25"/>
      <c r="X147" s="33"/>
      <c r="Y147" s="250"/>
      <c r="Z147" s="33"/>
      <c r="AA147" s="25"/>
      <c r="AB147" s="25"/>
      <c r="AC147" s="31"/>
      <c r="AD147" s="31"/>
      <c r="AE147" s="31"/>
      <c r="AF147" s="31"/>
      <c r="AG147" s="31"/>
      <c r="AH147" s="31"/>
      <c r="AI147" s="31"/>
      <c r="AJ147" s="31"/>
      <c r="AK147" s="262"/>
      <c r="AL147" s="31"/>
      <c r="AM147" s="31"/>
      <c r="AN147" s="31"/>
      <c r="AO147" s="31"/>
      <c r="AP147" s="31"/>
      <c r="AQ147" s="25"/>
      <c r="AR147" s="273">
        <v>283.43</v>
      </c>
      <c r="AS147" s="256" t="s">
        <v>1370</v>
      </c>
      <c r="AT147" s="257">
        <v>10038568739961</v>
      </c>
      <c r="AU147" s="38"/>
      <c r="AV147" s="36"/>
      <c r="AW147" s="36"/>
      <c r="AX147" s="38"/>
      <c r="AY147" s="38"/>
      <c r="AZ147" s="38"/>
      <c r="BA147" s="399" t="s">
        <v>985</v>
      </c>
      <c r="BB147" s="399"/>
      <c r="BC147" s="399"/>
      <c r="BD147" s="399"/>
      <c r="BE147" s="399"/>
      <c r="BF147" s="259">
        <f>11.13+(0.125*2)</f>
        <v>11.38</v>
      </c>
      <c r="BG147" s="259">
        <f>10.25+(0.125*2)</f>
        <v>10.5</v>
      </c>
      <c r="BH147" s="259">
        <f>5.63+(0.125*4)</f>
        <v>6.13</v>
      </c>
      <c r="BI147" s="111">
        <f t="shared" si="43"/>
        <v>0.42388524305555558</v>
      </c>
      <c r="BJ147" s="113">
        <f>(0.86+0.75+0.44)+0.25</f>
        <v>2.2999999999999998</v>
      </c>
      <c r="BK147" s="341"/>
      <c r="BL147" s="341"/>
      <c r="BM147" s="251" t="s">
        <v>793</v>
      </c>
      <c r="BN147" s="251">
        <v>1</v>
      </c>
      <c r="BO147" s="251">
        <v>12</v>
      </c>
      <c r="BP147" s="251">
        <v>7</v>
      </c>
      <c r="BQ147" s="27">
        <f t="shared" si="44"/>
        <v>84</v>
      </c>
      <c r="BR147" s="27">
        <f t="shared" si="45"/>
        <v>243.2</v>
      </c>
      <c r="BS147" s="253" t="s">
        <v>1371</v>
      </c>
      <c r="BT147" s="27" t="s">
        <v>766</v>
      </c>
      <c r="BU147" s="248"/>
      <c r="BV147" s="248"/>
      <c r="BW147" s="248"/>
      <c r="BX147" s="1"/>
      <c r="BY147" s="1"/>
      <c r="BZ147" s="1"/>
      <c r="CA147" s="1"/>
      <c r="CB147" s="1"/>
      <c r="CC147" s="1"/>
      <c r="CD147" s="1"/>
      <c r="CE147" s="1"/>
    </row>
    <row r="148" spans="1:83" s="249" customFormat="1" x14ac:dyDescent="0.25">
      <c r="A148" s="184">
        <v>42030</v>
      </c>
      <c r="B148" s="184"/>
      <c r="C148" s="250" t="s">
        <v>1372</v>
      </c>
      <c r="D148" s="252" t="s">
        <v>1210</v>
      </c>
      <c r="E148" s="252" t="s">
        <v>1211</v>
      </c>
      <c r="F148" s="260" t="s">
        <v>1373</v>
      </c>
      <c r="G148" s="264" t="s">
        <v>963</v>
      </c>
      <c r="H148" s="31" t="s">
        <v>1186</v>
      </c>
      <c r="I148" s="264"/>
      <c r="J148" s="31"/>
      <c r="K148" s="25"/>
      <c r="L148" s="26"/>
      <c r="M148" s="26"/>
      <c r="N148" s="26"/>
      <c r="O148" s="254"/>
      <c r="P148" s="254"/>
      <c r="Q148" s="254"/>
      <c r="R148" s="254"/>
      <c r="S148" s="254"/>
      <c r="T148" s="254"/>
      <c r="U148" s="25" t="s">
        <v>1374</v>
      </c>
      <c r="V148" s="33"/>
      <c r="W148" s="25"/>
      <c r="X148" s="33"/>
      <c r="Y148" s="250"/>
      <c r="Z148" s="33"/>
      <c r="AA148" s="25"/>
      <c r="AB148" s="25" t="s">
        <v>1375</v>
      </c>
      <c r="AC148" s="158" t="s">
        <v>1376</v>
      </c>
      <c r="AD148" s="31"/>
      <c r="AE148" s="31"/>
      <c r="AF148" s="31"/>
      <c r="AG148" s="31"/>
      <c r="AH148" s="31"/>
      <c r="AI148" s="31"/>
      <c r="AJ148" s="31"/>
      <c r="AK148" s="262"/>
      <c r="AL148" s="250" t="s">
        <v>1377</v>
      </c>
      <c r="AM148" s="31"/>
      <c r="AN148" s="31"/>
      <c r="AO148" s="31"/>
      <c r="AP148" s="31"/>
      <c r="AQ148" s="25" t="s">
        <v>1378</v>
      </c>
      <c r="AR148" s="255">
        <v>18.37</v>
      </c>
      <c r="AS148" s="256" t="s">
        <v>1379</v>
      </c>
      <c r="AT148" s="257">
        <v>10038568742350</v>
      </c>
      <c r="AU148" s="112">
        <v>7.6</v>
      </c>
      <c r="AV148" s="112">
        <v>7.44</v>
      </c>
      <c r="AW148" s="112">
        <v>2.2799999999999998</v>
      </c>
      <c r="AX148" s="38"/>
      <c r="AY148" s="38"/>
      <c r="AZ148" s="38"/>
      <c r="BA148" s="113">
        <f>7.44+(0.018*2)</f>
        <v>7.476</v>
      </c>
      <c r="BB148" s="113">
        <f>2.75+(0.018*2)</f>
        <v>2.786</v>
      </c>
      <c r="BC148" s="113">
        <f>9.5+(0.018*4)</f>
        <v>9.5719999999999992</v>
      </c>
      <c r="BD148" s="111">
        <f t="shared" si="46"/>
        <v>0.11537437372222221</v>
      </c>
      <c r="BE148" s="113">
        <f>0.419+0.1</f>
        <v>0.51900000000000002</v>
      </c>
      <c r="BF148" s="259">
        <f>10+(0.125*2)</f>
        <v>10.25</v>
      </c>
      <c r="BG148" s="259">
        <f>7.5+(0.125*2)</f>
        <v>7.75</v>
      </c>
      <c r="BH148" s="259">
        <f>10+(0.125*4)</f>
        <v>10.5</v>
      </c>
      <c r="BI148" s="111">
        <f t="shared" si="43"/>
        <v>0.4826931423611111</v>
      </c>
      <c r="BJ148" s="113">
        <f>(BE148*3)+0.25</f>
        <v>1.8069999999999999</v>
      </c>
      <c r="BK148" s="341"/>
      <c r="BL148" s="341"/>
      <c r="BM148" s="251" t="s">
        <v>793</v>
      </c>
      <c r="BN148" s="251">
        <v>3</v>
      </c>
      <c r="BO148" s="251">
        <v>22</v>
      </c>
      <c r="BP148" s="251">
        <v>4</v>
      </c>
      <c r="BQ148" s="27">
        <f t="shared" si="44"/>
        <v>264</v>
      </c>
      <c r="BR148" s="27">
        <f t="shared" si="45"/>
        <v>209.01599999999999</v>
      </c>
      <c r="BS148" s="251" t="s">
        <v>765</v>
      </c>
      <c r="BT148" s="27" t="s">
        <v>766</v>
      </c>
      <c r="BU148" s="248"/>
      <c r="BV148" s="248"/>
      <c r="BW148" s="248"/>
      <c r="BX148" s="1"/>
      <c r="BY148" s="1"/>
      <c r="BZ148" s="1"/>
      <c r="CA148" s="1"/>
      <c r="CB148" s="1"/>
      <c r="CC148" s="1"/>
      <c r="CD148" s="1"/>
      <c r="CE148" s="1"/>
    </row>
    <row r="149" spans="1:83" s="249" customFormat="1" x14ac:dyDescent="0.25">
      <c r="A149" s="184">
        <v>42030</v>
      </c>
      <c r="B149" s="184"/>
      <c r="C149" s="251" t="s">
        <v>1380</v>
      </c>
      <c r="D149" s="252" t="s">
        <v>1210</v>
      </c>
      <c r="E149" s="252" t="s">
        <v>1211</v>
      </c>
      <c r="F149" s="260" t="s">
        <v>1381</v>
      </c>
      <c r="G149" s="264" t="s">
        <v>720</v>
      </c>
      <c r="H149" s="31" t="s">
        <v>1382</v>
      </c>
      <c r="I149" s="264" t="s">
        <v>49</v>
      </c>
      <c r="J149" s="31" t="s">
        <v>1383</v>
      </c>
      <c r="K149" s="25"/>
      <c r="L149" s="26"/>
      <c r="M149" s="26"/>
      <c r="N149" s="26"/>
      <c r="O149" s="254"/>
      <c r="P149" s="254"/>
      <c r="Q149" s="254"/>
      <c r="R149" s="254"/>
      <c r="S149" s="254"/>
      <c r="T149" s="254"/>
      <c r="U149" s="25" t="s">
        <v>1384</v>
      </c>
      <c r="V149" s="33"/>
      <c r="W149" s="25"/>
      <c r="X149" s="33"/>
      <c r="Y149" s="250"/>
      <c r="Z149" s="33"/>
      <c r="AA149" s="25"/>
      <c r="AB149" s="25" t="s">
        <v>1385</v>
      </c>
      <c r="AC149" s="158" t="s">
        <v>1386</v>
      </c>
      <c r="AD149" s="31"/>
      <c r="AE149" s="31"/>
      <c r="AF149" s="31"/>
      <c r="AG149" s="31"/>
      <c r="AH149" s="31"/>
      <c r="AI149" s="31"/>
      <c r="AJ149" s="31"/>
      <c r="AK149" s="262"/>
      <c r="AL149" s="250" t="s">
        <v>1387</v>
      </c>
      <c r="AM149" s="31"/>
      <c r="AN149" s="31"/>
      <c r="AO149" s="31"/>
      <c r="AP149" s="31"/>
      <c r="AQ149" s="25"/>
      <c r="AR149" s="255">
        <v>14.67</v>
      </c>
      <c r="AS149" s="256" t="s">
        <v>1388</v>
      </c>
      <c r="AT149" s="257">
        <v>10038568742367</v>
      </c>
      <c r="AU149" s="112">
        <v>8.0299999999999994</v>
      </c>
      <c r="AV149" s="112">
        <v>6.02</v>
      </c>
      <c r="AW149" s="112">
        <v>2.2200000000000002</v>
      </c>
      <c r="AX149" s="38"/>
      <c r="AY149" s="38"/>
      <c r="AZ149" s="38"/>
      <c r="BA149" s="113">
        <f>9.75+(0.018*2)</f>
        <v>9.7859999999999996</v>
      </c>
      <c r="BB149" s="113">
        <f>2.31+(0.018*2)</f>
        <v>2.3460000000000001</v>
      </c>
      <c r="BC149" s="113">
        <f>9.75+(0.018*4)</f>
        <v>9.8219999999999992</v>
      </c>
      <c r="BD149" s="111">
        <f t="shared" si="46"/>
        <v>0.13049365962499998</v>
      </c>
      <c r="BE149" s="113">
        <f>0.375+0.1</f>
        <v>0.47499999999999998</v>
      </c>
      <c r="BF149" s="259">
        <f>10+(0.125*2)</f>
        <v>10.25</v>
      </c>
      <c r="BG149" s="259">
        <f>7.5+(0.125*2)</f>
        <v>7.75</v>
      </c>
      <c r="BH149" s="259">
        <f>10+(0.125*4)</f>
        <v>10.5</v>
      </c>
      <c r="BI149" s="111">
        <f t="shared" si="43"/>
        <v>0.4826931423611111</v>
      </c>
      <c r="BJ149" s="113">
        <f t="shared" ref="BJ149" si="47">(BE149*3)+0.25</f>
        <v>1.6749999999999998</v>
      </c>
      <c r="BK149" s="341"/>
      <c r="BL149" s="341"/>
      <c r="BM149" s="251" t="s">
        <v>793</v>
      </c>
      <c r="BN149" s="251">
        <v>3</v>
      </c>
      <c r="BO149" s="251">
        <v>22</v>
      </c>
      <c r="BP149" s="251">
        <v>4</v>
      </c>
      <c r="BQ149" s="27">
        <f t="shared" si="44"/>
        <v>264</v>
      </c>
      <c r="BR149" s="27">
        <f t="shared" si="45"/>
        <v>197.39999999999998</v>
      </c>
      <c r="BS149" s="251" t="s">
        <v>765</v>
      </c>
      <c r="BT149" s="27" t="s">
        <v>766</v>
      </c>
      <c r="BU149" s="248"/>
      <c r="BV149" s="248"/>
      <c r="BW149" s="248"/>
      <c r="BX149" s="1"/>
      <c r="BY149" s="1"/>
      <c r="BZ149" s="1"/>
      <c r="CA149" s="1"/>
      <c r="CB149" s="1"/>
      <c r="CC149" s="1"/>
      <c r="CD149" s="1"/>
      <c r="CE149" s="1"/>
    </row>
    <row r="150" spans="1:83" s="249" customFormat="1" ht="30" x14ac:dyDescent="0.25">
      <c r="A150" s="184">
        <v>42030</v>
      </c>
      <c r="B150" s="184"/>
      <c r="C150" s="250" t="s">
        <v>1348</v>
      </c>
      <c r="D150" s="252" t="s">
        <v>60</v>
      </c>
      <c r="E150" s="252" t="s">
        <v>1349</v>
      </c>
      <c r="F150" s="260" t="s">
        <v>1350</v>
      </c>
      <c r="G150" s="264" t="s">
        <v>1351</v>
      </c>
      <c r="H150" s="31" t="s">
        <v>1352</v>
      </c>
      <c r="I150" s="264" t="s">
        <v>1351</v>
      </c>
      <c r="J150" s="31">
        <v>1521527</v>
      </c>
      <c r="K150" s="25"/>
      <c r="L150" s="26"/>
      <c r="M150" s="26"/>
      <c r="N150" s="26"/>
      <c r="O150" s="254"/>
      <c r="P150" s="254"/>
      <c r="Q150" s="254"/>
      <c r="R150" s="254"/>
      <c r="S150" s="254"/>
      <c r="T150" s="254"/>
      <c r="U150" s="25" t="s">
        <v>1353</v>
      </c>
      <c r="V150" s="33"/>
      <c r="W150" s="25"/>
      <c r="X150" s="33"/>
      <c r="Y150" s="250" t="s">
        <v>1354</v>
      </c>
      <c r="Z150" s="33"/>
      <c r="AA150" s="25" t="s">
        <v>1355</v>
      </c>
      <c r="AB150" s="25"/>
      <c r="AC150" s="31"/>
      <c r="AD150" s="31" t="s">
        <v>1356</v>
      </c>
      <c r="AE150" s="31"/>
      <c r="AF150" s="31"/>
      <c r="AG150" s="31"/>
      <c r="AH150" s="31"/>
      <c r="AI150" s="31"/>
      <c r="AJ150" s="31"/>
      <c r="AK150" s="262"/>
      <c r="AL150" s="31"/>
      <c r="AM150" s="31"/>
      <c r="AN150" s="31"/>
      <c r="AO150" s="31"/>
      <c r="AP150" s="31"/>
      <c r="AQ150" s="25"/>
      <c r="AR150" s="273">
        <v>17.7</v>
      </c>
      <c r="AS150" s="256" t="s">
        <v>1357</v>
      </c>
      <c r="AT150" s="257">
        <v>10038568737998</v>
      </c>
      <c r="AU150" s="38"/>
      <c r="AV150" s="36"/>
      <c r="AW150" s="36"/>
      <c r="AX150" s="111">
        <v>2.52</v>
      </c>
      <c r="AY150" s="111">
        <v>5.75</v>
      </c>
      <c r="AZ150" s="111">
        <v>1.06</v>
      </c>
      <c r="BA150" s="113">
        <f>3.0625+(0.018*2)</f>
        <v>3.0985</v>
      </c>
      <c r="BB150" s="113">
        <f>3.0625+(0.018*2)</f>
        <v>3.0985</v>
      </c>
      <c r="BC150" s="113">
        <f>6.75+(0.018*4)</f>
        <v>6.8220000000000001</v>
      </c>
      <c r="BD150" s="111">
        <f t="shared" si="46"/>
        <v>3.7902772424479161E-2</v>
      </c>
      <c r="BE150" s="113">
        <f>0.16+0.1</f>
        <v>0.26</v>
      </c>
      <c r="BF150" s="259">
        <f>12.8125+(0.125*2)</f>
        <v>13.0625</v>
      </c>
      <c r="BG150" s="259">
        <f>9.625+(0.125*2)</f>
        <v>9.875</v>
      </c>
      <c r="BH150" s="259">
        <f>6.875+(0.125*4)</f>
        <v>7.375</v>
      </c>
      <c r="BI150" s="111">
        <f t="shared" si="43"/>
        <v>0.55053089283130785</v>
      </c>
      <c r="BJ150" s="113">
        <f>(BE150*12)+0.25</f>
        <v>3.37</v>
      </c>
      <c r="BK150" s="341"/>
      <c r="BL150" s="341"/>
      <c r="BM150" s="251" t="s">
        <v>793</v>
      </c>
      <c r="BN150" s="251">
        <v>12</v>
      </c>
      <c r="BO150" s="251">
        <v>14</v>
      </c>
      <c r="BP150" s="251">
        <v>6</v>
      </c>
      <c r="BQ150" s="27">
        <f t="shared" si="44"/>
        <v>1008</v>
      </c>
      <c r="BR150" s="27">
        <f t="shared" si="45"/>
        <v>333.08</v>
      </c>
      <c r="BS150" s="251" t="s">
        <v>886</v>
      </c>
      <c r="BT150" s="27" t="s">
        <v>766</v>
      </c>
      <c r="BU150" s="248"/>
      <c r="BV150" s="248"/>
      <c r="BW150" s="248"/>
      <c r="BX150" s="1"/>
      <c r="BY150" s="1"/>
      <c r="BZ150" s="1"/>
      <c r="CA150" s="1"/>
      <c r="CB150" s="1"/>
      <c r="CC150" s="1"/>
      <c r="CD150" s="1"/>
      <c r="CE150" s="1"/>
    </row>
    <row r="151" spans="1:83" s="249" customFormat="1" x14ac:dyDescent="0.25">
      <c r="A151" s="184">
        <v>42030</v>
      </c>
      <c r="B151" s="184"/>
      <c r="C151" s="250" t="s">
        <v>1358</v>
      </c>
      <c r="D151" s="252" t="s">
        <v>60</v>
      </c>
      <c r="E151" s="252" t="s">
        <v>1211</v>
      </c>
      <c r="F151" s="260" t="s">
        <v>1359</v>
      </c>
      <c r="G151" s="264" t="s">
        <v>1360</v>
      </c>
      <c r="H151" s="31" t="s">
        <v>1361</v>
      </c>
      <c r="I151" s="264"/>
      <c r="J151" s="31"/>
      <c r="K151" s="25"/>
      <c r="L151" s="26"/>
      <c r="M151" s="26"/>
      <c r="N151" s="26"/>
      <c r="O151" s="254"/>
      <c r="P151" s="254"/>
      <c r="Q151" s="254"/>
      <c r="R151" s="254"/>
      <c r="S151" s="254"/>
      <c r="T151" s="254"/>
      <c r="U151" s="25" t="s">
        <v>1362</v>
      </c>
      <c r="V151" s="33"/>
      <c r="W151" s="25"/>
      <c r="X151" s="33"/>
      <c r="Y151" s="250"/>
      <c r="Z151" s="33"/>
      <c r="AA151" s="25" t="s">
        <v>1363</v>
      </c>
      <c r="AB151" s="25" t="s">
        <v>1364</v>
      </c>
      <c r="AC151" s="31"/>
      <c r="AD151" s="31"/>
      <c r="AE151" s="31"/>
      <c r="AF151" s="31"/>
      <c r="AG151" s="31"/>
      <c r="AH151" s="31"/>
      <c r="AI151" s="31"/>
      <c r="AJ151" s="31"/>
      <c r="AK151" s="262"/>
      <c r="AL151" s="31"/>
      <c r="AM151" s="31"/>
      <c r="AN151" s="31"/>
      <c r="AO151" s="31"/>
      <c r="AP151" s="31"/>
      <c r="AQ151" s="25" t="s">
        <v>1365</v>
      </c>
      <c r="AR151" s="273">
        <v>21.98</v>
      </c>
      <c r="AS151" s="256" t="s">
        <v>1366</v>
      </c>
      <c r="AT151" s="257">
        <v>10038568740417</v>
      </c>
      <c r="AU151" s="112">
        <v>10.26</v>
      </c>
      <c r="AV151" s="112">
        <v>5.57</v>
      </c>
      <c r="AW151" s="112">
        <v>0.77</v>
      </c>
      <c r="AX151" s="38"/>
      <c r="AY151" s="38"/>
      <c r="AZ151" s="38"/>
      <c r="BA151" s="113">
        <v>10.26</v>
      </c>
      <c r="BB151" s="113">
        <v>5.57</v>
      </c>
      <c r="BC151" s="113">
        <v>0.77</v>
      </c>
      <c r="BD151" s="111">
        <f t="shared" si="46"/>
        <v>2.5465343750000001E-2</v>
      </c>
      <c r="BE151" s="113">
        <f>0.2+0.1</f>
        <v>0.30000000000000004</v>
      </c>
      <c r="BF151" s="259">
        <f>10.5+(0.125*2)</f>
        <v>10.75</v>
      </c>
      <c r="BG151" s="259">
        <f>7+(0.125*2)</f>
        <v>7.25</v>
      </c>
      <c r="BH151" s="259">
        <f>4.12+(0.125*4)</f>
        <v>4.62</v>
      </c>
      <c r="BI151" s="111">
        <f t="shared" si="43"/>
        <v>0.2083745659722222</v>
      </c>
      <c r="BJ151" s="113">
        <f>(BE151*3)+0.25</f>
        <v>1.1500000000000001</v>
      </c>
      <c r="BK151" s="341"/>
      <c r="BL151" s="341"/>
      <c r="BM151" s="251" t="s">
        <v>793</v>
      </c>
      <c r="BN151" s="251">
        <v>3</v>
      </c>
      <c r="BO151" s="251">
        <v>20</v>
      </c>
      <c r="BP151" s="251">
        <v>11</v>
      </c>
      <c r="BQ151" s="27">
        <f t="shared" si="44"/>
        <v>660</v>
      </c>
      <c r="BR151" s="27">
        <f t="shared" si="45"/>
        <v>303</v>
      </c>
      <c r="BS151" s="251" t="s">
        <v>769</v>
      </c>
      <c r="BT151" s="27" t="s">
        <v>766</v>
      </c>
      <c r="BU151" s="248"/>
      <c r="BV151" s="248"/>
      <c r="BW151" s="248"/>
      <c r="BX151" s="1"/>
      <c r="BY151" s="1"/>
      <c r="BZ151" s="1"/>
      <c r="CA151" s="1"/>
      <c r="CB151" s="1"/>
      <c r="CC151" s="1"/>
      <c r="CD151" s="1"/>
      <c r="CE151" s="1"/>
    </row>
    <row r="152" spans="1:83" s="249" customFormat="1" ht="30" x14ac:dyDescent="0.25">
      <c r="A152" s="184">
        <v>42030</v>
      </c>
      <c r="B152" s="184"/>
      <c r="C152" s="250" t="s">
        <v>1367</v>
      </c>
      <c r="D152" s="252" t="s">
        <v>60</v>
      </c>
      <c r="E152" s="252"/>
      <c r="F152" s="260" t="s">
        <v>1368</v>
      </c>
      <c r="G152" s="264" t="s">
        <v>1369</v>
      </c>
      <c r="H152" s="31"/>
      <c r="I152" s="264"/>
      <c r="J152" s="31"/>
      <c r="K152" s="25"/>
      <c r="L152" s="26"/>
      <c r="M152" s="26"/>
      <c r="N152" s="26"/>
      <c r="O152" s="254"/>
      <c r="P152" s="254"/>
      <c r="Q152" s="254"/>
      <c r="R152" s="254"/>
      <c r="S152" s="254"/>
      <c r="T152" s="254"/>
      <c r="U152" s="25"/>
      <c r="V152" s="33"/>
      <c r="W152" s="25"/>
      <c r="X152" s="33"/>
      <c r="Y152" s="250"/>
      <c r="Z152" s="33"/>
      <c r="AA152" s="25"/>
      <c r="AB152" s="25"/>
      <c r="AC152" s="31"/>
      <c r="AD152" s="31"/>
      <c r="AE152" s="31"/>
      <c r="AF152" s="31"/>
      <c r="AG152" s="31"/>
      <c r="AH152" s="31"/>
      <c r="AI152" s="31"/>
      <c r="AJ152" s="31"/>
      <c r="AK152" s="262"/>
      <c r="AL152" s="31"/>
      <c r="AM152" s="31"/>
      <c r="AN152" s="31"/>
      <c r="AO152" s="31"/>
      <c r="AP152" s="31"/>
      <c r="AQ152" s="25"/>
      <c r="AR152" s="273">
        <v>283.43</v>
      </c>
      <c r="AS152" s="256" t="s">
        <v>1370</v>
      </c>
      <c r="AT152" s="257">
        <v>10038568739961</v>
      </c>
      <c r="AU152" s="38"/>
      <c r="AV152" s="36"/>
      <c r="AW152" s="36"/>
      <c r="AX152" s="38"/>
      <c r="AY152" s="38"/>
      <c r="AZ152" s="38"/>
      <c r="BA152" s="399" t="s">
        <v>985</v>
      </c>
      <c r="BB152" s="399"/>
      <c r="BC152" s="399"/>
      <c r="BD152" s="399"/>
      <c r="BE152" s="399"/>
      <c r="BF152" s="259">
        <f>11.13+(0.125*2)</f>
        <v>11.38</v>
      </c>
      <c r="BG152" s="259">
        <f>10.25+(0.125*2)</f>
        <v>10.5</v>
      </c>
      <c r="BH152" s="259">
        <f>5.63+(0.125*4)</f>
        <v>6.13</v>
      </c>
      <c r="BI152" s="111">
        <f t="shared" si="43"/>
        <v>0.42388524305555558</v>
      </c>
      <c r="BJ152" s="113">
        <f>(0.86+0.75+0.44)+0.25</f>
        <v>2.2999999999999998</v>
      </c>
      <c r="BK152" s="341"/>
      <c r="BL152" s="341"/>
      <c r="BM152" s="251" t="s">
        <v>793</v>
      </c>
      <c r="BN152" s="251">
        <v>1</v>
      </c>
      <c r="BO152" s="251">
        <v>12</v>
      </c>
      <c r="BP152" s="251">
        <v>7</v>
      </c>
      <c r="BQ152" s="27">
        <f t="shared" si="44"/>
        <v>84</v>
      </c>
      <c r="BR152" s="27">
        <f t="shared" si="45"/>
        <v>243.2</v>
      </c>
      <c r="BS152" s="253" t="s">
        <v>1371</v>
      </c>
      <c r="BT152" s="27" t="s">
        <v>766</v>
      </c>
      <c r="BU152" s="248"/>
      <c r="BV152" s="248"/>
      <c r="BW152" s="248"/>
      <c r="BX152" s="1"/>
      <c r="BY152" s="1"/>
      <c r="BZ152" s="1"/>
      <c r="CA152" s="1"/>
      <c r="CB152" s="1"/>
      <c r="CC152" s="1"/>
      <c r="CD152" s="1"/>
      <c r="CE152" s="1"/>
    </row>
    <row r="153" spans="1:83" s="249" customFormat="1" x14ac:dyDescent="0.25">
      <c r="A153" s="184">
        <v>42030</v>
      </c>
      <c r="B153" s="184"/>
      <c r="C153" s="250" t="s">
        <v>1372</v>
      </c>
      <c r="D153" s="252" t="s">
        <v>1210</v>
      </c>
      <c r="E153" s="252" t="s">
        <v>1211</v>
      </c>
      <c r="F153" s="260" t="s">
        <v>1373</v>
      </c>
      <c r="G153" s="264" t="s">
        <v>963</v>
      </c>
      <c r="H153" s="31" t="s">
        <v>1186</v>
      </c>
      <c r="I153" s="264"/>
      <c r="J153" s="31"/>
      <c r="K153" s="25"/>
      <c r="L153" s="26"/>
      <c r="M153" s="26"/>
      <c r="N153" s="26"/>
      <c r="O153" s="254"/>
      <c r="P153" s="254"/>
      <c r="Q153" s="254"/>
      <c r="R153" s="254"/>
      <c r="S153" s="254"/>
      <c r="T153" s="254"/>
      <c r="U153" s="25" t="s">
        <v>1374</v>
      </c>
      <c r="V153" s="33"/>
      <c r="W153" s="25"/>
      <c r="X153" s="33"/>
      <c r="Y153" s="250"/>
      <c r="Z153" s="33"/>
      <c r="AA153" s="25"/>
      <c r="AB153" s="25" t="s">
        <v>1375</v>
      </c>
      <c r="AC153" s="158" t="s">
        <v>1376</v>
      </c>
      <c r="AD153" s="31"/>
      <c r="AE153" s="31"/>
      <c r="AF153" s="31"/>
      <c r="AG153" s="31"/>
      <c r="AH153" s="31"/>
      <c r="AI153" s="31"/>
      <c r="AJ153" s="31"/>
      <c r="AK153" s="262"/>
      <c r="AL153" s="250" t="s">
        <v>1377</v>
      </c>
      <c r="AM153" s="31"/>
      <c r="AN153" s="31"/>
      <c r="AO153" s="31"/>
      <c r="AP153" s="31"/>
      <c r="AQ153" s="25" t="s">
        <v>1378</v>
      </c>
      <c r="AR153" s="255">
        <v>18.37</v>
      </c>
      <c r="AS153" s="256" t="s">
        <v>1379</v>
      </c>
      <c r="AT153" s="257">
        <v>10038568742350</v>
      </c>
      <c r="AU153" s="112">
        <v>7.6</v>
      </c>
      <c r="AV153" s="112">
        <v>7.44</v>
      </c>
      <c r="AW153" s="112">
        <v>2.2799999999999998</v>
      </c>
      <c r="AX153" s="38"/>
      <c r="AY153" s="38"/>
      <c r="AZ153" s="38"/>
      <c r="BA153" s="113">
        <f>7.44+(0.018*2)</f>
        <v>7.476</v>
      </c>
      <c r="BB153" s="113">
        <f>2.75+(0.018*2)</f>
        <v>2.786</v>
      </c>
      <c r="BC153" s="113">
        <f>9.5+(0.018*4)</f>
        <v>9.5719999999999992</v>
      </c>
      <c r="BD153" s="111">
        <f t="shared" si="46"/>
        <v>0.11537437372222221</v>
      </c>
      <c r="BE153" s="113">
        <f>0.419+0.1</f>
        <v>0.51900000000000002</v>
      </c>
      <c r="BF153" s="259">
        <f>10+(0.125*2)</f>
        <v>10.25</v>
      </c>
      <c r="BG153" s="259">
        <f>7.5+(0.125*2)</f>
        <v>7.75</v>
      </c>
      <c r="BH153" s="259">
        <f>10+(0.125*4)</f>
        <v>10.5</v>
      </c>
      <c r="BI153" s="111">
        <f t="shared" si="43"/>
        <v>0.4826931423611111</v>
      </c>
      <c r="BJ153" s="113">
        <f>(BE153*3)+0.25</f>
        <v>1.8069999999999999</v>
      </c>
      <c r="BK153" s="341"/>
      <c r="BL153" s="341"/>
      <c r="BM153" s="251" t="s">
        <v>793</v>
      </c>
      <c r="BN153" s="251">
        <v>3</v>
      </c>
      <c r="BO153" s="251">
        <v>22</v>
      </c>
      <c r="BP153" s="251">
        <v>4</v>
      </c>
      <c r="BQ153" s="27">
        <f t="shared" si="44"/>
        <v>264</v>
      </c>
      <c r="BR153" s="27">
        <f t="shared" si="45"/>
        <v>209.01599999999999</v>
      </c>
      <c r="BS153" s="251" t="s">
        <v>765</v>
      </c>
      <c r="BT153" s="27" t="s">
        <v>766</v>
      </c>
      <c r="BU153" s="248"/>
      <c r="BV153" s="248"/>
      <c r="BW153" s="248"/>
      <c r="BX153" s="1"/>
      <c r="BY153" s="1"/>
      <c r="BZ153" s="1"/>
      <c r="CA153" s="1"/>
      <c r="CB153" s="1"/>
      <c r="CC153" s="1"/>
      <c r="CD153" s="1"/>
      <c r="CE153" s="1"/>
    </row>
    <row r="154" spans="1:83" s="249" customFormat="1" x14ac:dyDescent="0.25">
      <c r="A154" s="184">
        <v>42030</v>
      </c>
      <c r="B154" s="184"/>
      <c r="C154" s="251" t="s">
        <v>1380</v>
      </c>
      <c r="D154" s="252" t="s">
        <v>1210</v>
      </c>
      <c r="E154" s="252" t="s">
        <v>1211</v>
      </c>
      <c r="F154" s="260" t="s">
        <v>1381</v>
      </c>
      <c r="G154" s="264" t="s">
        <v>720</v>
      </c>
      <c r="H154" s="31" t="s">
        <v>1382</v>
      </c>
      <c r="I154" s="264" t="s">
        <v>49</v>
      </c>
      <c r="J154" s="31" t="s">
        <v>1383</v>
      </c>
      <c r="K154" s="25"/>
      <c r="L154" s="26"/>
      <c r="M154" s="26"/>
      <c r="N154" s="26"/>
      <c r="O154" s="254"/>
      <c r="P154" s="254"/>
      <c r="Q154" s="254"/>
      <c r="R154" s="254"/>
      <c r="S154" s="254"/>
      <c r="T154" s="254"/>
      <c r="U154" s="25" t="s">
        <v>1384</v>
      </c>
      <c r="V154" s="33"/>
      <c r="W154" s="25"/>
      <c r="X154" s="33"/>
      <c r="Y154" s="250"/>
      <c r="Z154" s="33"/>
      <c r="AA154" s="25"/>
      <c r="AB154" s="25" t="s">
        <v>1385</v>
      </c>
      <c r="AC154" s="158" t="s">
        <v>1386</v>
      </c>
      <c r="AD154" s="31"/>
      <c r="AE154" s="31"/>
      <c r="AF154" s="31"/>
      <c r="AG154" s="31"/>
      <c r="AH154" s="31"/>
      <c r="AI154" s="31"/>
      <c r="AJ154" s="31"/>
      <c r="AK154" s="262"/>
      <c r="AL154" s="250" t="s">
        <v>1387</v>
      </c>
      <c r="AM154" s="31"/>
      <c r="AN154" s="31"/>
      <c r="AO154" s="31"/>
      <c r="AP154" s="31"/>
      <c r="AQ154" s="25"/>
      <c r="AR154" s="255">
        <v>14.67</v>
      </c>
      <c r="AS154" s="256" t="s">
        <v>1388</v>
      </c>
      <c r="AT154" s="257">
        <v>10038568742367</v>
      </c>
      <c r="AU154" s="112">
        <v>8.0299999999999994</v>
      </c>
      <c r="AV154" s="112">
        <v>6.02</v>
      </c>
      <c r="AW154" s="112">
        <v>2.2200000000000002</v>
      </c>
      <c r="AX154" s="38"/>
      <c r="AY154" s="38"/>
      <c r="AZ154" s="38"/>
      <c r="BA154" s="113">
        <f>9.75+(0.018*2)</f>
        <v>9.7859999999999996</v>
      </c>
      <c r="BB154" s="113">
        <f>2.31+(0.018*2)</f>
        <v>2.3460000000000001</v>
      </c>
      <c r="BC154" s="113">
        <f>9.75+(0.018*4)</f>
        <v>9.8219999999999992</v>
      </c>
      <c r="BD154" s="111">
        <f t="shared" si="46"/>
        <v>0.13049365962499998</v>
      </c>
      <c r="BE154" s="113">
        <f>0.375+0.1</f>
        <v>0.47499999999999998</v>
      </c>
      <c r="BF154" s="259">
        <f>10+(0.125*2)</f>
        <v>10.25</v>
      </c>
      <c r="BG154" s="259">
        <f>7.5+(0.125*2)</f>
        <v>7.75</v>
      </c>
      <c r="BH154" s="259">
        <f>10+(0.125*4)</f>
        <v>10.5</v>
      </c>
      <c r="BI154" s="111">
        <f t="shared" si="43"/>
        <v>0.4826931423611111</v>
      </c>
      <c r="BJ154" s="113">
        <f t="shared" ref="BJ154" si="48">(BE154*3)+0.25</f>
        <v>1.6749999999999998</v>
      </c>
      <c r="BK154" s="341"/>
      <c r="BL154" s="341"/>
      <c r="BM154" s="251" t="s">
        <v>793</v>
      </c>
      <c r="BN154" s="251">
        <v>3</v>
      </c>
      <c r="BO154" s="251">
        <v>22</v>
      </c>
      <c r="BP154" s="251">
        <v>4</v>
      </c>
      <c r="BQ154" s="27">
        <f t="shared" si="44"/>
        <v>264</v>
      </c>
      <c r="BR154" s="27">
        <f t="shared" si="45"/>
        <v>197.39999999999998</v>
      </c>
      <c r="BS154" s="251" t="s">
        <v>765</v>
      </c>
      <c r="BT154" s="27" t="s">
        <v>766</v>
      </c>
      <c r="BU154" s="248"/>
      <c r="BV154" s="248"/>
      <c r="BW154" s="248"/>
      <c r="BX154" s="1"/>
      <c r="BY154" s="1"/>
      <c r="BZ154" s="1"/>
      <c r="CA154" s="1"/>
      <c r="CB154" s="1"/>
      <c r="CC154" s="1"/>
      <c r="CD154" s="1"/>
      <c r="CE154" s="1"/>
    </row>
    <row r="155" spans="1:83" s="125" customFormat="1" ht="30" x14ac:dyDescent="0.25">
      <c r="A155" s="184">
        <v>42013</v>
      </c>
      <c r="B155" s="184"/>
      <c r="C155" s="252" t="s">
        <v>1389</v>
      </c>
      <c r="D155" s="253" t="s">
        <v>60</v>
      </c>
      <c r="E155" s="252" t="s">
        <v>1235</v>
      </c>
      <c r="F155" s="274" t="s">
        <v>1390</v>
      </c>
      <c r="G155" s="264" t="s">
        <v>980</v>
      </c>
      <c r="H155" s="31" t="s">
        <v>1391</v>
      </c>
      <c r="I155" s="264" t="s">
        <v>980</v>
      </c>
      <c r="J155" s="31" t="s">
        <v>1392</v>
      </c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5" t="s">
        <v>1393</v>
      </c>
      <c r="V155" s="33"/>
      <c r="W155" s="25"/>
      <c r="X155" s="33"/>
      <c r="Y155" s="250"/>
      <c r="Z155" s="33"/>
      <c r="AA155" s="25" t="s">
        <v>1394</v>
      </c>
      <c r="AB155" s="25"/>
      <c r="AC155" s="31"/>
      <c r="AD155" s="31"/>
      <c r="AE155" s="31"/>
      <c r="AF155" s="31"/>
      <c r="AG155" s="31"/>
      <c r="AH155" s="31"/>
      <c r="AI155" s="31"/>
      <c r="AJ155" s="31"/>
      <c r="AK155" s="262"/>
      <c r="AL155" s="31"/>
      <c r="AM155" s="31"/>
      <c r="AN155" s="31"/>
      <c r="AO155" s="31"/>
      <c r="AP155" s="31"/>
      <c r="AQ155" s="25" t="s">
        <v>1395</v>
      </c>
      <c r="AR155" s="273">
        <v>59.68</v>
      </c>
      <c r="AS155" s="256" t="s">
        <v>1396</v>
      </c>
      <c r="AT155" s="257">
        <v>10038568740295</v>
      </c>
      <c r="AU155" s="36"/>
      <c r="AV155" s="36"/>
      <c r="AW155" s="36"/>
      <c r="AX155" s="111">
        <v>6.3</v>
      </c>
      <c r="AY155" s="111">
        <v>7.36</v>
      </c>
      <c r="AZ155" s="38"/>
      <c r="BA155" s="399" t="s">
        <v>985</v>
      </c>
      <c r="BB155" s="399"/>
      <c r="BC155" s="399"/>
      <c r="BD155" s="399"/>
      <c r="BE155" s="399"/>
      <c r="BF155" s="113">
        <f>14.75+(0.153*2)</f>
        <v>15.055999999999999</v>
      </c>
      <c r="BG155" s="113">
        <f>9.75+(0.153*2)</f>
        <v>10.055999999999999</v>
      </c>
      <c r="BH155" s="113">
        <f>14.13+(0.153*4)</f>
        <v>14.742000000000001</v>
      </c>
      <c r="BI155" s="111">
        <f t="shared" si="43"/>
        <v>1.2916580039999999</v>
      </c>
      <c r="BJ155" s="113">
        <f>(2.5*6)+0.25</f>
        <v>15.25</v>
      </c>
      <c r="BK155" s="341"/>
      <c r="BL155" s="341"/>
      <c r="BM155" s="124" t="s">
        <v>793</v>
      </c>
      <c r="BN155" s="27">
        <v>6</v>
      </c>
      <c r="BO155" s="27">
        <v>12</v>
      </c>
      <c r="BP155" s="27">
        <v>3</v>
      </c>
      <c r="BQ155" s="27">
        <f t="shared" si="44"/>
        <v>216</v>
      </c>
      <c r="BR155" s="27">
        <f t="shared" si="45"/>
        <v>599</v>
      </c>
      <c r="BS155" s="27" t="s">
        <v>886</v>
      </c>
      <c r="BT155" s="27" t="s">
        <v>766</v>
      </c>
      <c r="BU155" s="276"/>
      <c r="BV155" s="276"/>
      <c r="BW155" s="276"/>
      <c r="BX155" s="14"/>
      <c r="BY155" s="14"/>
      <c r="BZ155" s="14"/>
      <c r="CA155" s="14"/>
      <c r="CB155" s="14"/>
      <c r="CC155" s="14"/>
      <c r="CD155" s="14"/>
      <c r="CE155" s="14"/>
    </row>
    <row r="156" spans="1:83" s="125" customFormat="1" ht="30" x14ac:dyDescent="0.25">
      <c r="A156" s="184">
        <v>42013</v>
      </c>
      <c r="B156" s="184"/>
      <c r="C156" s="252" t="s">
        <v>1397</v>
      </c>
      <c r="D156" s="253" t="s">
        <v>60</v>
      </c>
      <c r="E156" s="252" t="s">
        <v>1211</v>
      </c>
      <c r="F156" s="260" t="s">
        <v>1398</v>
      </c>
      <c r="G156" s="31" t="s">
        <v>980</v>
      </c>
      <c r="H156" s="264" t="s">
        <v>1399</v>
      </c>
      <c r="I156" s="31"/>
      <c r="J156" s="31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5" t="s">
        <v>1400</v>
      </c>
      <c r="V156" s="33"/>
      <c r="W156" s="25"/>
      <c r="X156" s="33"/>
      <c r="Y156" s="25" t="s">
        <v>1401</v>
      </c>
      <c r="Z156" s="33"/>
      <c r="AA156" s="25" t="s">
        <v>1402</v>
      </c>
      <c r="AB156" s="25" t="s">
        <v>1403</v>
      </c>
      <c r="AC156" s="31"/>
      <c r="AD156" s="31"/>
      <c r="AE156" s="31"/>
      <c r="AF156" s="31"/>
      <c r="AG156" s="31"/>
      <c r="AH156" s="31"/>
      <c r="AI156" s="31"/>
      <c r="AJ156" s="31"/>
      <c r="AK156" s="262"/>
      <c r="AL156" s="31"/>
      <c r="AM156" s="31"/>
      <c r="AN156" s="31"/>
      <c r="AO156" s="31"/>
      <c r="AP156" s="31"/>
      <c r="AQ156" s="25" t="s">
        <v>1404</v>
      </c>
      <c r="AR156" s="273">
        <v>106.8</v>
      </c>
      <c r="AS156" s="256" t="s">
        <v>1405</v>
      </c>
      <c r="AT156" s="257">
        <v>10038568736526</v>
      </c>
      <c r="AU156" s="112">
        <v>12.2</v>
      </c>
      <c r="AV156" s="112">
        <v>4.87</v>
      </c>
      <c r="AW156" s="112">
        <v>7.2</v>
      </c>
      <c r="AX156" s="38"/>
      <c r="AY156" s="38"/>
      <c r="AZ156" s="38"/>
      <c r="BA156" s="399" t="s">
        <v>985</v>
      </c>
      <c r="BB156" s="399"/>
      <c r="BC156" s="399"/>
      <c r="BD156" s="399"/>
      <c r="BE156" s="399"/>
      <c r="BF156" s="113">
        <f>13.25+(0.153*2)</f>
        <v>13.555999999999999</v>
      </c>
      <c r="BG156" s="113">
        <f>6+(0.153*2)</f>
        <v>6.306</v>
      </c>
      <c r="BH156" s="113">
        <f>7.5+(0.153*4)</f>
        <v>8.1120000000000001</v>
      </c>
      <c r="BI156" s="111">
        <f t="shared" si="43"/>
        <v>0.40130052733333332</v>
      </c>
      <c r="BJ156" s="113">
        <f>2.5+0.25</f>
        <v>2.75</v>
      </c>
      <c r="BK156" s="341"/>
      <c r="BL156" s="341"/>
      <c r="BM156" s="251" t="s">
        <v>793</v>
      </c>
      <c r="BN156" s="251">
        <v>1</v>
      </c>
      <c r="BO156" s="251">
        <v>21</v>
      </c>
      <c r="BP156" s="251">
        <v>5</v>
      </c>
      <c r="BQ156" s="27">
        <f t="shared" si="44"/>
        <v>105</v>
      </c>
      <c r="BR156" s="27">
        <f t="shared" si="45"/>
        <v>338.75</v>
      </c>
      <c r="BS156" s="27" t="s">
        <v>886</v>
      </c>
      <c r="BT156" s="27" t="s">
        <v>766</v>
      </c>
      <c r="BU156" s="276"/>
      <c r="BV156" s="276"/>
      <c r="BW156" s="276"/>
      <c r="BX156" s="14"/>
      <c r="BY156" s="14"/>
      <c r="BZ156" s="14"/>
      <c r="CA156" s="14"/>
      <c r="CB156" s="14"/>
      <c r="CC156" s="14"/>
      <c r="CD156" s="14"/>
      <c r="CE156" s="14"/>
    </row>
    <row r="157" spans="1:83" s="125" customFormat="1" ht="30" x14ac:dyDescent="0.25">
      <c r="A157" s="184">
        <v>42013</v>
      </c>
      <c r="B157" s="184"/>
      <c r="C157" s="251" t="s">
        <v>1406</v>
      </c>
      <c r="D157" s="253" t="s">
        <v>60</v>
      </c>
      <c r="E157" s="252" t="s">
        <v>1211</v>
      </c>
      <c r="F157" s="260" t="s">
        <v>1407</v>
      </c>
      <c r="G157" s="31" t="s">
        <v>1408</v>
      </c>
      <c r="H157" s="264"/>
      <c r="I157" s="31"/>
      <c r="J157" s="31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5" t="s">
        <v>1409</v>
      </c>
      <c r="V157" s="33"/>
      <c r="W157" s="25"/>
      <c r="X157" s="33"/>
      <c r="Y157" s="251" t="s">
        <v>1410</v>
      </c>
      <c r="Z157" s="33"/>
      <c r="AA157" s="251"/>
      <c r="AB157" s="25"/>
      <c r="AC157" s="31"/>
      <c r="AD157" s="31"/>
      <c r="AE157" s="31"/>
      <c r="AF157" s="31"/>
      <c r="AG157" s="31"/>
      <c r="AH157" s="31"/>
      <c r="AI157" s="31"/>
      <c r="AJ157" s="31"/>
      <c r="AK157" s="262"/>
      <c r="AL157" s="31"/>
      <c r="AM157" s="31"/>
      <c r="AN157" s="31"/>
      <c r="AO157" s="31"/>
      <c r="AP157" s="31"/>
      <c r="AQ157" s="251"/>
      <c r="AR157" s="273">
        <v>114.8</v>
      </c>
      <c r="AS157" s="256" t="s">
        <v>1411</v>
      </c>
      <c r="AT157" s="257">
        <v>10038568738445</v>
      </c>
      <c r="AU157" s="38"/>
      <c r="AV157" s="112">
        <v>12.85</v>
      </c>
      <c r="AW157" s="112">
        <v>8</v>
      </c>
      <c r="AX157" s="38"/>
      <c r="AY157" s="38"/>
      <c r="AZ157" s="38"/>
      <c r="BA157" s="399" t="s">
        <v>985</v>
      </c>
      <c r="BB157" s="399"/>
      <c r="BC157" s="399"/>
      <c r="BD157" s="399"/>
      <c r="BE157" s="399"/>
      <c r="BF157" s="259">
        <f>13.25+(0.153*2)</f>
        <v>13.555999999999999</v>
      </c>
      <c r="BG157" s="259">
        <f>13.25+(0.153*2)</f>
        <v>13.555999999999999</v>
      </c>
      <c r="BH157" s="259">
        <f>8.75+(0.153*4)</f>
        <v>9.3620000000000001</v>
      </c>
      <c r="BI157" s="111">
        <f t="shared" si="43"/>
        <v>0.99560717779629615</v>
      </c>
      <c r="BJ157" s="113">
        <f>2.8+0.25</f>
        <v>3.05</v>
      </c>
      <c r="BK157" s="341"/>
      <c r="BL157" s="341"/>
      <c r="BM157" s="251" t="s">
        <v>793</v>
      </c>
      <c r="BN157" s="251">
        <v>1</v>
      </c>
      <c r="BO157" s="251">
        <v>9</v>
      </c>
      <c r="BP157" s="251">
        <v>5</v>
      </c>
      <c r="BQ157" s="27">
        <f t="shared" si="44"/>
        <v>45</v>
      </c>
      <c r="BR157" s="27">
        <f t="shared" si="45"/>
        <v>187.25</v>
      </c>
      <c r="BS157" s="251" t="s">
        <v>886</v>
      </c>
      <c r="BT157" s="27" t="s">
        <v>766</v>
      </c>
      <c r="BU157" s="276"/>
      <c r="BV157" s="276"/>
      <c r="BW157" s="276"/>
      <c r="BX157" s="14"/>
      <c r="BY157" s="14"/>
      <c r="BZ157" s="14"/>
      <c r="CA157" s="14"/>
      <c r="CB157" s="14"/>
      <c r="CC157" s="14"/>
      <c r="CD157" s="14"/>
      <c r="CE157" s="14"/>
    </row>
    <row r="158" spans="1:83" s="125" customFormat="1" ht="30" x14ac:dyDescent="0.25">
      <c r="A158" s="184">
        <v>42013</v>
      </c>
      <c r="B158" s="184"/>
      <c r="C158" s="251" t="s">
        <v>1412</v>
      </c>
      <c r="D158" s="253" t="s">
        <v>60</v>
      </c>
      <c r="E158" s="252" t="s">
        <v>1211</v>
      </c>
      <c r="F158" s="260" t="s">
        <v>1413</v>
      </c>
      <c r="G158" s="31" t="s">
        <v>980</v>
      </c>
      <c r="H158" s="31" t="s">
        <v>1414</v>
      </c>
      <c r="I158" s="31"/>
      <c r="J158" s="31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5" t="s">
        <v>1415</v>
      </c>
      <c r="V158" s="33"/>
      <c r="W158" s="25"/>
      <c r="X158" s="33"/>
      <c r="Y158" s="25" t="s">
        <v>1416</v>
      </c>
      <c r="Z158" s="33"/>
      <c r="AA158" s="25" t="s">
        <v>1417</v>
      </c>
      <c r="AB158" s="25"/>
      <c r="AC158" s="31"/>
      <c r="AD158" s="31"/>
      <c r="AE158" s="31"/>
      <c r="AF158" s="31"/>
      <c r="AG158" s="31"/>
      <c r="AH158" s="31"/>
      <c r="AI158" s="31"/>
      <c r="AJ158" s="31"/>
      <c r="AK158" s="262"/>
      <c r="AL158" s="31"/>
      <c r="AM158" s="31"/>
      <c r="AN158" s="31"/>
      <c r="AO158" s="31"/>
      <c r="AP158" s="31"/>
      <c r="AQ158" s="25" t="s">
        <v>1418</v>
      </c>
      <c r="AR158" s="273">
        <v>118.22</v>
      </c>
      <c r="AS158" s="256" t="s">
        <v>1419</v>
      </c>
      <c r="AT158" s="257">
        <v>10038568738414</v>
      </c>
      <c r="AU158" s="112">
        <v>12.87</v>
      </c>
      <c r="AV158" s="112">
        <v>4.87</v>
      </c>
      <c r="AW158" s="112">
        <v>11.14</v>
      </c>
      <c r="AX158" s="38"/>
      <c r="AY158" s="38"/>
      <c r="AZ158" s="38"/>
      <c r="BA158" s="399" t="s">
        <v>985</v>
      </c>
      <c r="BB158" s="399"/>
      <c r="BC158" s="399"/>
      <c r="BD158" s="399"/>
      <c r="BE158" s="399"/>
      <c r="BF158" s="259">
        <f>13.25+(0.153*2)</f>
        <v>13.555999999999999</v>
      </c>
      <c r="BG158" s="259">
        <f>6+(0.153*2)</f>
        <v>6.306</v>
      </c>
      <c r="BH158" s="259">
        <f>11.25+(0.153*4)</f>
        <v>11.862</v>
      </c>
      <c r="BI158" s="111">
        <f t="shared" si="43"/>
        <v>0.58681297524999998</v>
      </c>
      <c r="BJ158" s="113">
        <f>2.5+0.25</f>
        <v>2.75</v>
      </c>
      <c r="BK158" s="341"/>
      <c r="BL158" s="341"/>
      <c r="BM158" s="251" t="s">
        <v>793</v>
      </c>
      <c r="BN158" s="251">
        <v>1</v>
      </c>
      <c r="BO158" s="251">
        <v>18</v>
      </c>
      <c r="BP158" s="251">
        <v>3</v>
      </c>
      <c r="BQ158" s="27">
        <f t="shared" si="44"/>
        <v>54</v>
      </c>
      <c r="BR158" s="27">
        <f t="shared" si="45"/>
        <v>198.5</v>
      </c>
      <c r="BS158" s="251" t="s">
        <v>886</v>
      </c>
      <c r="BT158" s="27" t="s">
        <v>766</v>
      </c>
      <c r="BU158" s="276"/>
      <c r="BV158" s="276"/>
      <c r="BW158" s="276"/>
      <c r="BX158" s="14"/>
      <c r="BY158" s="14"/>
      <c r="BZ158" s="14"/>
      <c r="CA158" s="14"/>
      <c r="CB158" s="14"/>
      <c r="CC158" s="14"/>
      <c r="CD158" s="14"/>
      <c r="CE158" s="14"/>
    </row>
    <row r="159" spans="1:83" s="125" customFormat="1" ht="30" x14ac:dyDescent="0.25">
      <c r="A159" s="184">
        <v>42013</v>
      </c>
      <c r="B159" s="184"/>
      <c r="C159" s="251" t="s">
        <v>1420</v>
      </c>
      <c r="D159" s="253" t="s">
        <v>60</v>
      </c>
      <c r="E159" s="252" t="s">
        <v>1211</v>
      </c>
      <c r="F159" s="260" t="s">
        <v>1421</v>
      </c>
      <c r="G159" s="31" t="s">
        <v>980</v>
      </c>
      <c r="H159" s="264" t="s">
        <v>1422</v>
      </c>
      <c r="I159" s="31"/>
      <c r="J159" s="31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5" t="s">
        <v>1423</v>
      </c>
      <c r="V159" s="33"/>
      <c r="W159" s="25"/>
      <c r="X159" s="33"/>
      <c r="Y159" s="25" t="s">
        <v>1424</v>
      </c>
      <c r="Z159" s="33"/>
      <c r="AA159" s="251"/>
      <c r="AB159" s="25"/>
      <c r="AC159" s="31"/>
      <c r="AD159" s="31"/>
      <c r="AE159" s="31"/>
      <c r="AF159" s="31"/>
      <c r="AG159" s="31"/>
      <c r="AH159" s="31"/>
      <c r="AI159" s="31"/>
      <c r="AJ159" s="31"/>
      <c r="AK159" s="262"/>
      <c r="AL159" s="31"/>
      <c r="AM159" s="31"/>
      <c r="AN159" s="31"/>
      <c r="AO159" s="31"/>
      <c r="AP159" s="31"/>
      <c r="AQ159" s="25" t="s">
        <v>1425</v>
      </c>
      <c r="AR159" s="273">
        <v>59.46</v>
      </c>
      <c r="AS159" s="256" t="s">
        <v>1426</v>
      </c>
      <c r="AT159" s="257">
        <v>10038568738551</v>
      </c>
      <c r="AU159" s="38"/>
      <c r="AV159" s="38"/>
      <c r="AW159" s="38"/>
      <c r="AX159" s="112">
        <v>5.94</v>
      </c>
      <c r="AY159" s="112">
        <v>13.03</v>
      </c>
      <c r="AZ159" s="38"/>
      <c r="BA159" s="399" t="s">
        <v>985</v>
      </c>
      <c r="BB159" s="399"/>
      <c r="BC159" s="399"/>
      <c r="BD159" s="399"/>
      <c r="BE159" s="399"/>
      <c r="BF159" s="259">
        <f>7+(0.153*2)</f>
        <v>7.306</v>
      </c>
      <c r="BG159" s="259">
        <f>7+(0.153*2)</f>
        <v>7.306</v>
      </c>
      <c r="BH159" s="259">
        <f>14.5+(0.153*4)</f>
        <v>15.112</v>
      </c>
      <c r="BI159" s="111">
        <f t="shared" si="43"/>
        <v>0.46680719631481477</v>
      </c>
      <c r="BJ159" s="113">
        <f>1.3+0.25</f>
        <v>1.55</v>
      </c>
      <c r="BK159" s="341"/>
      <c r="BL159" s="341"/>
      <c r="BM159" s="251" t="s">
        <v>793</v>
      </c>
      <c r="BN159" s="251">
        <v>1</v>
      </c>
      <c r="BO159" s="251">
        <v>30</v>
      </c>
      <c r="BP159" s="251">
        <v>3</v>
      </c>
      <c r="BQ159" s="27">
        <f t="shared" si="44"/>
        <v>90</v>
      </c>
      <c r="BR159" s="27">
        <f t="shared" si="45"/>
        <v>189.5</v>
      </c>
      <c r="BS159" s="251" t="s">
        <v>886</v>
      </c>
      <c r="BT159" s="27" t="s">
        <v>766</v>
      </c>
      <c r="BU159" s="276"/>
      <c r="BV159" s="276"/>
      <c r="BW159" s="276"/>
      <c r="BX159" s="14"/>
      <c r="BY159" s="14"/>
      <c r="BZ159" s="14"/>
      <c r="CA159" s="14"/>
      <c r="CB159" s="14"/>
      <c r="CC159" s="14"/>
      <c r="CD159" s="14"/>
      <c r="CE159" s="14"/>
    </row>
    <row r="160" spans="1:83" s="125" customFormat="1" x14ac:dyDescent="0.25">
      <c r="A160" s="184">
        <v>42013</v>
      </c>
      <c r="B160" s="184"/>
      <c r="C160" s="251" t="s">
        <v>1427</v>
      </c>
      <c r="D160" s="253" t="s">
        <v>60</v>
      </c>
      <c r="E160" s="252" t="s">
        <v>1211</v>
      </c>
      <c r="F160" s="260" t="s">
        <v>1428</v>
      </c>
      <c r="G160" s="31" t="s">
        <v>720</v>
      </c>
      <c r="H160" s="264" t="s">
        <v>1429</v>
      </c>
      <c r="I160" s="31" t="s">
        <v>49</v>
      </c>
      <c r="J160" s="31" t="s">
        <v>1430</v>
      </c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5" t="s">
        <v>1431</v>
      </c>
      <c r="V160" s="33"/>
      <c r="W160" s="25"/>
      <c r="X160" s="33"/>
      <c r="Y160" s="25" t="s">
        <v>1432</v>
      </c>
      <c r="Z160" s="33"/>
      <c r="AA160" s="25" t="s">
        <v>1433</v>
      </c>
      <c r="AB160" s="25" t="s">
        <v>1434</v>
      </c>
      <c r="AC160" s="31"/>
      <c r="AD160" s="31"/>
      <c r="AE160" s="31"/>
      <c r="AF160" s="31"/>
      <c r="AG160" s="31"/>
      <c r="AH160" s="31"/>
      <c r="AI160" s="31"/>
      <c r="AJ160" s="31"/>
      <c r="AK160" s="262"/>
      <c r="AL160" s="31"/>
      <c r="AM160" s="31"/>
      <c r="AN160" s="31"/>
      <c r="AO160" s="31"/>
      <c r="AP160" s="31"/>
      <c r="AQ160" s="25" t="s">
        <v>1435</v>
      </c>
      <c r="AR160" s="273">
        <v>131.29</v>
      </c>
      <c r="AS160" s="256" t="s">
        <v>1436</v>
      </c>
      <c r="AT160" s="257">
        <v>10038568738568</v>
      </c>
      <c r="AU160" s="112">
        <v>13.05</v>
      </c>
      <c r="AV160" s="112">
        <v>8.75</v>
      </c>
      <c r="AW160" s="112" t="s">
        <v>1437</v>
      </c>
      <c r="AX160" s="38"/>
      <c r="AY160" s="38"/>
      <c r="AZ160" s="38"/>
      <c r="BA160" s="399" t="s">
        <v>985</v>
      </c>
      <c r="BB160" s="399"/>
      <c r="BC160" s="399"/>
      <c r="BD160" s="399"/>
      <c r="BE160" s="399"/>
      <c r="BF160" s="259">
        <f>12.75+(0.153*2)</f>
        <v>13.055999999999999</v>
      </c>
      <c r="BG160" s="259">
        <f>8.5+(0.153*2)</f>
        <v>8.8059999999999992</v>
      </c>
      <c r="BH160" s="259">
        <f>9.5+(0.153*4)</f>
        <v>10.112</v>
      </c>
      <c r="BI160" s="111">
        <f t="shared" si="43"/>
        <v>0.67279405511111101</v>
      </c>
      <c r="BJ160" s="113">
        <f>1.3+0.25</f>
        <v>1.55</v>
      </c>
      <c r="BK160" s="341"/>
      <c r="BL160" s="341"/>
      <c r="BM160" s="251" t="s">
        <v>793</v>
      </c>
      <c r="BN160" s="251">
        <v>1</v>
      </c>
      <c r="BO160" s="251">
        <v>15</v>
      </c>
      <c r="BP160" s="251">
        <v>4</v>
      </c>
      <c r="BQ160" s="27">
        <f t="shared" si="44"/>
        <v>60</v>
      </c>
      <c r="BR160" s="27">
        <f t="shared" si="45"/>
        <v>143</v>
      </c>
      <c r="BS160" s="251" t="s">
        <v>886</v>
      </c>
      <c r="BT160" s="27" t="s">
        <v>766</v>
      </c>
      <c r="BU160" s="276"/>
      <c r="BV160" s="276"/>
      <c r="BW160" s="276"/>
      <c r="BX160" s="14"/>
      <c r="BY160" s="14"/>
      <c r="BZ160" s="14"/>
      <c r="CA160" s="14"/>
      <c r="CB160" s="14"/>
      <c r="CC160" s="14"/>
      <c r="CD160" s="14"/>
      <c r="CE160" s="14"/>
    </row>
    <row r="161" spans="1:83" s="125" customFormat="1" ht="30" x14ac:dyDescent="0.25">
      <c r="A161" s="184">
        <v>42013</v>
      </c>
      <c r="B161" s="184"/>
      <c r="C161" s="251" t="s">
        <v>1438</v>
      </c>
      <c r="D161" s="253" t="s">
        <v>60</v>
      </c>
      <c r="E161" s="252" t="s">
        <v>1211</v>
      </c>
      <c r="F161" s="260" t="s">
        <v>1439</v>
      </c>
      <c r="G161" s="31" t="s">
        <v>980</v>
      </c>
      <c r="H161" s="264" t="s">
        <v>1440</v>
      </c>
      <c r="I161" s="31"/>
      <c r="J161" s="31"/>
      <c r="K161" s="275"/>
      <c r="L161" s="275"/>
      <c r="M161" s="275"/>
      <c r="N161" s="275"/>
      <c r="O161" s="275"/>
      <c r="P161" s="275"/>
      <c r="Q161" s="275"/>
      <c r="R161" s="275"/>
      <c r="S161" s="275"/>
      <c r="T161" s="275"/>
      <c r="U161" s="25" t="s">
        <v>1441</v>
      </c>
      <c r="V161" s="33"/>
      <c r="W161" s="25"/>
      <c r="X161" s="33"/>
      <c r="Y161" s="25" t="s">
        <v>1442</v>
      </c>
      <c r="Z161" s="33"/>
      <c r="AA161" s="25"/>
      <c r="AB161" s="262"/>
      <c r="AC161" s="31"/>
      <c r="AD161" s="31"/>
      <c r="AE161" s="31"/>
      <c r="AF161" s="31"/>
      <c r="AG161" s="31"/>
      <c r="AH161" s="31"/>
      <c r="AI161" s="31"/>
      <c r="AJ161" s="31"/>
      <c r="AK161" s="262"/>
      <c r="AL161" s="31"/>
      <c r="AM161" s="31"/>
      <c r="AN161" s="31"/>
      <c r="AO161" s="31"/>
      <c r="AP161" s="31"/>
      <c r="AQ161" s="25" t="s">
        <v>1443</v>
      </c>
      <c r="AR161" s="273">
        <v>128.28</v>
      </c>
      <c r="AS161" s="256" t="s">
        <v>1444</v>
      </c>
      <c r="AT161" s="257">
        <v>10038568739794</v>
      </c>
      <c r="AU161" s="112">
        <v>10.33</v>
      </c>
      <c r="AV161" s="112">
        <v>10.33</v>
      </c>
      <c r="AW161" s="112">
        <v>9.16</v>
      </c>
      <c r="AX161" s="38"/>
      <c r="AY161" s="38"/>
      <c r="AZ161" s="38"/>
      <c r="BA161" s="399" t="s">
        <v>985</v>
      </c>
      <c r="BB161" s="399"/>
      <c r="BC161" s="399"/>
      <c r="BD161" s="399"/>
      <c r="BE161" s="399"/>
      <c r="BF161" s="259">
        <f>6.5+(0.153*2)</f>
        <v>6.806</v>
      </c>
      <c r="BG161" s="259">
        <f>6.5+(0.153*2)</f>
        <v>6.806</v>
      </c>
      <c r="BH161" s="259">
        <f>5.5+(0.153*4)</f>
        <v>6.1120000000000001</v>
      </c>
      <c r="BI161" s="111">
        <f t="shared" si="43"/>
        <v>0.16384134214814813</v>
      </c>
      <c r="BJ161" s="113">
        <f>3+0.25</f>
        <v>3.25</v>
      </c>
      <c r="BK161" s="341"/>
      <c r="BL161" s="341"/>
      <c r="BM161" s="251" t="s">
        <v>793</v>
      </c>
      <c r="BN161" s="251">
        <v>1</v>
      </c>
      <c r="BO161" s="251">
        <v>12</v>
      </c>
      <c r="BP161" s="251">
        <v>4</v>
      </c>
      <c r="BQ161" s="27">
        <f t="shared" si="44"/>
        <v>48</v>
      </c>
      <c r="BR161" s="27">
        <f t="shared" si="45"/>
        <v>206</v>
      </c>
      <c r="BS161" s="251" t="s">
        <v>886</v>
      </c>
      <c r="BT161" s="27" t="s">
        <v>766</v>
      </c>
      <c r="BU161" s="276"/>
      <c r="BV161" s="276"/>
      <c r="BW161" s="276"/>
      <c r="BX161" s="14"/>
      <c r="BY161" s="14"/>
      <c r="BZ161" s="14"/>
      <c r="CA161" s="14"/>
      <c r="CB161" s="14"/>
      <c r="CC161" s="14"/>
      <c r="CD161" s="14"/>
      <c r="CE161" s="14"/>
    </row>
    <row r="162" spans="1:83" s="125" customFormat="1" x14ac:dyDescent="0.25">
      <c r="A162" s="184">
        <v>42013</v>
      </c>
      <c r="B162" s="184"/>
      <c r="C162" s="251" t="s">
        <v>1445</v>
      </c>
      <c r="D162" s="253" t="s">
        <v>60</v>
      </c>
      <c r="E162" s="252" t="s">
        <v>1211</v>
      </c>
      <c r="F162" s="253" t="s">
        <v>1446</v>
      </c>
      <c r="G162" s="31" t="s">
        <v>1447</v>
      </c>
      <c r="H162" s="264" t="s">
        <v>1448</v>
      </c>
      <c r="I162" s="31" t="s">
        <v>1360</v>
      </c>
      <c r="J162" s="31" t="s">
        <v>1449</v>
      </c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5" t="s">
        <v>1450</v>
      </c>
      <c r="V162" s="33"/>
      <c r="W162" s="25"/>
      <c r="X162" s="33"/>
      <c r="Y162" s="25"/>
      <c r="Z162" s="33"/>
      <c r="AA162" s="25" t="s">
        <v>1451</v>
      </c>
      <c r="AB162" s="251" t="s">
        <v>1452</v>
      </c>
      <c r="AC162" s="31"/>
      <c r="AD162" s="31"/>
      <c r="AE162" s="31"/>
      <c r="AF162" s="31"/>
      <c r="AG162" s="31"/>
      <c r="AH162" s="31"/>
      <c r="AI162" s="31"/>
      <c r="AJ162" s="31"/>
      <c r="AK162" s="262"/>
      <c r="AL162" s="31"/>
      <c r="AM162" s="31"/>
      <c r="AN162" s="31"/>
      <c r="AO162" s="31"/>
      <c r="AP162" s="31"/>
      <c r="AQ162" s="251">
        <v>24469</v>
      </c>
      <c r="AR162" s="273">
        <v>45.79</v>
      </c>
      <c r="AS162" s="256" t="s">
        <v>1453</v>
      </c>
      <c r="AT162" s="257">
        <v>10038568742138</v>
      </c>
      <c r="AU162" s="112">
        <v>8.86</v>
      </c>
      <c r="AV162" s="112">
        <v>6.5350000000000001</v>
      </c>
      <c r="AW162" s="112">
        <v>1.988</v>
      </c>
      <c r="AX162" s="38"/>
      <c r="AY162" s="38"/>
      <c r="AZ162" s="38"/>
      <c r="BA162" s="113">
        <f>8.86</f>
        <v>8.86</v>
      </c>
      <c r="BB162" s="113">
        <f>6.54</f>
        <v>6.54</v>
      </c>
      <c r="BC162" s="113">
        <f>1.99</f>
        <v>1.99</v>
      </c>
      <c r="BD162" s="111">
        <f t="shared" ref="BD162" si="49">(BC162*BB162*BA162)/1728</f>
        <v>6.6729951388888889E-2</v>
      </c>
      <c r="BE162" s="113">
        <f>1.2+0.1</f>
        <v>1.3</v>
      </c>
      <c r="BF162" s="113">
        <f>10+(0.153*2)</f>
        <v>10.305999999999999</v>
      </c>
      <c r="BG162" s="113">
        <f>7.5+(0.153*2)</f>
        <v>7.806</v>
      </c>
      <c r="BH162" s="113">
        <f>6.62+(0.153*4)</f>
        <v>7.2320000000000002</v>
      </c>
      <c r="BI162" s="111">
        <f t="shared" si="43"/>
        <v>0.3366924395555555</v>
      </c>
      <c r="BJ162" s="113">
        <f>(BE162*3)+0.25</f>
        <v>4.1500000000000004</v>
      </c>
      <c r="BK162" s="341"/>
      <c r="BL162" s="341"/>
      <c r="BM162" s="250" t="s">
        <v>793</v>
      </c>
      <c r="BN162" s="250">
        <v>3</v>
      </c>
      <c r="BO162" s="250">
        <v>22</v>
      </c>
      <c r="BP162" s="250">
        <v>6</v>
      </c>
      <c r="BQ162" s="27">
        <f t="shared" si="44"/>
        <v>396</v>
      </c>
      <c r="BR162" s="27">
        <f>(BJ162*BO162*BP162)+50</f>
        <v>597.80000000000007</v>
      </c>
      <c r="BS162" s="250" t="s">
        <v>769</v>
      </c>
      <c r="BT162" s="27" t="s">
        <v>766</v>
      </c>
      <c r="BU162" s="276"/>
      <c r="BV162" s="276"/>
      <c r="BW162" s="276"/>
      <c r="BX162" s="14"/>
      <c r="BY162" s="14"/>
      <c r="BZ162" s="14"/>
      <c r="CA162" s="14"/>
      <c r="CB162" s="14"/>
      <c r="CC162" s="14"/>
      <c r="CD162" s="14"/>
      <c r="CE162" s="14"/>
    </row>
    <row r="163" spans="1:83" s="125" customFormat="1" ht="30" x14ac:dyDescent="0.25">
      <c r="A163" s="184">
        <v>41983</v>
      </c>
      <c r="B163" s="184"/>
      <c r="C163" s="251" t="s">
        <v>1454</v>
      </c>
      <c r="D163" s="253" t="s">
        <v>60</v>
      </c>
      <c r="E163" s="252" t="s">
        <v>1125</v>
      </c>
      <c r="F163" s="277" t="s">
        <v>1455</v>
      </c>
      <c r="G163" s="31" t="s">
        <v>1456</v>
      </c>
      <c r="H163" s="264" t="s">
        <v>1457</v>
      </c>
      <c r="I163" s="31" t="s">
        <v>1456</v>
      </c>
      <c r="J163" s="31" t="s">
        <v>1458</v>
      </c>
      <c r="K163" s="25"/>
      <c r="L163" s="26"/>
      <c r="M163" s="26"/>
      <c r="N163" s="26"/>
      <c r="O163" s="254"/>
      <c r="P163" s="254"/>
      <c r="Q163" s="254"/>
      <c r="R163" s="254"/>
      <c r="S163" s="254"/>
      <c r="T163" s="254"/>
      <c r="U163" s="25"/>
      <c r="V163" s="33"/>
      <c r="W163" s="25"/>
      <c r="X163" s="33"/>
      <c r="Y163" s="25"/>
      <c r="Z163" s="33"/>
      <c r="AA163" s="25"/>
      <c r="AB163" s="25"/>
      <c r="AC163" s="31"/>
      <c r="AD163" s="31"/>
      <c r="AE163" s="31"/>
      <c r="AF163" s="31"/>
      <c r="AG163" s="31"/>
      <c r="AH163" s="31"/>
      <c r="AI163" s="31"/>
      <c r="AJ163" s="31"/>
      <c r="AK163" s="262"/>
      <c r="AL163" s="31"/>
      <c r="AM163" s="31"/>
      <c r="AN163" s="31"/>
      <c r="AO163" s="31"/>
      <c r="AP163" s="31"/>
      <c r="AQ163" s="25"/>
      <c r="AR163" s="273">
        <v>9.8699999999999992</v>
      </c>
      <c r="AS163" s="256" t="s">
        <v>1459</v>
      </c>
      <c r="AT163" s="257">
        <v>10038568738223</v>
      </c>
      <c r="AU163" s="36"/>
      <c r="AV163" s="36"/>
      <c r="AW163" s="36"/>
      <c r="AX163" s="112">
        <v>2.9820000000000002</v>
      </c>
      <c r="AY163" s="112">
        <v>3.9359999999999999</v>
      </c>
      <c r="AZ163" s="112">
        <v>2.39</v>
      </c>
      <c r="BA163" s="401" t="s">
        <v>1460</v>
      </c>
      <c r="BB163" s="402"/>
      <c r="BC163" s="402"/>
      <c r="BD163" s="402"/>
      <c r="BE163" s="259">
        <f>0.84+0.1</f>
        <v>0.94</v>
      </c>
      <c r="BF163" s="259">
        <f>10.5+(0.125*2)</f>
        <v>10.75</v>
      </c>
      <c r="BG163" s="259">
        <f>7+(0.125*2)</f>
        <v>7.25</v>
      </c>
      <c r="BH163" s="259">
        <f>4.12+(0.125*4)</f>
        <v>4.62</v>
      </c>
      <c r="BI163" s="111">
        <f t="shared" si="43"/>
        <v>0.2083745659722222</v>
      </c>
      <c r="BJ163" s="113">
        <f>(BE163*6)+0.25</f>
        <v>5.89</v>
      </c>
      <c r="BK163" s="341"/>
      <c r="BL163" s="341"/>
      <c r="BM163" s="251" t="s">
        <v>793</v>
      </c>
      <c r="BN163" s="251">
        <v>6</v>
      </c>
      <c r="BO163" s="251">
        <v>22</v>
      </c>
      <c r="BP163" s="251">
        <v>9</v>
      </c>
      <c r="BQ163" s="27">
        <f t="shared" si="44"/>
        <v>1188</v>
      </c>
      <c r="BR163" s="27">
        <f t="shared" ref="BR163:BR168" si="50">(BJ163*BO163*BP163)+50</f>
        <v>1216.2199999999998</v>
      </c>
      <c r="BS163" s="251" t="s">
        <v>886</v>
      </c>
      <c r="BT163" s="27" t="s">
        <v>766</v>
      </c>
      <c r="BU163" s="276"/>
      <c r="BV163" s="276"/>
      <c r="BW163" s="276"/>
      <c r="BX163" s="14"/>
      <c r="BY163" s="14"/>
      <c r="BZ163" s="14"/>
      <c r="CA163" s="14"/>
      <c r="CB163" s="14"/>
      <c r="CC163" s="14"/>
      <c r="CD163" s="14"/>
      <c r="CE163" s="14"/>
    </row>
    <row r="164" spans="1:83" s="125" customFormat="1" ht="30" x14ac:dyDescent="0.25">
      <c r="A164" s="184">
        <v>41957</v>
      </c>
      <c r="B164" s="184"/>
      <c r="C164" s="252" t="s">
        <v>1461</v>
      </c>
      <c r="D164" s="253" t="s">
        <v>60</v>
      </c>
      <c r="E164" s="252" t="s">
        <v>1462</v>
      </c>
      <c r="F164" s="274" t="s">
        <v>1463</v>
      </c>
      <c r="G164" s="31" t="s">
        <v>1464</v>
      </c>
      <c r="H164" s="264" t="s">
        <v>1465</v>
      </c>
      <c r="I164" s="31" t="s">
        <v>1466</v>
      </c>
      <c r="J164" s="31">
        <v>9210280007</v>
      </c>
      <c r="K164" s="25" t="s">
        <v>1467</v>
      </c>
      <c r="L164" s="26" t="s">
        <v>1468</v>
      </c>
      <c r="M164" s="26" t="s">
        <v>786</v>
      </c>
      <c r="N164" s="26">
        <v>76086226</v>
      </c>
      <c r="O164" s="254"/>
      <c r="P164" s="254"/>
      <c r="Q164" s="254"/>
      <c r="R164" s="254"/>
      <c r="S164" s="254"/>
      <c r="T164" s="254"/>
      <c r="U164" s="25" t="s">
        <v>1469</v>
      </c>
      <c r="V164" s="33"/>
      <c r="W164" s="25"/>
      <c r="X164" s="33"/>
      <c r="Y164" s="25" t="s">
        <v>1470</v>
      </c>
      <c r="Z164" s="33"/>
      <c r="AA164" s="25" t="s">
        <v>1471</v>
      </c>
      <c r="AB164" s="25"/>
      <c r="AC164" s="31"/>
      <c r="AD164" s="31"/>
      <c r="AE164" s="31"/>
      <c r="AF164" s="31"/>
      <c r="AG164" s="31"/>
      <c r="AH164" s="31"/>
      <c r="AI164" s="31"/>
      <c r="AJ164" s="31"/>
      <c r="AK164" s="262"/>
      <c r="AL164" s="31"/>
      <c r="AM164" s="31"/>
      <c r="AN164" s="31"/>
      <c r="AO164" s="31"/>
      <c r="AP164" s="31"/>
      <c r="AQ164" s="25" t="s">
        <v>1472</v>
      </c>
      <c r="AR164" s="32">
        <v>99.85</v>
      </c>
      <c r="AS164" s="256" t="s">
        <v>1473</v>
      </c>
      <c r="AT164" s="257">
        <v>10038568737981</v>
      </c>
      <c r="AU164" s="36"/>
      <c r="AV164" s="36"/>
      <c r="AW164" s="36"/>
      <c r="AX164" s="111">
        <v>3.75</v>
      </c>
      <c r="AY164" s="111">
        <v>7.21</v>
      </c>
      <c r="AZ164" s="38"/>
      <c r="BA164" s="259">
        <f>4.1875+(0.0625*2)</f>
        <v>4.3125</v>
      </c>
      <c r="BB164" s="259">
        <f>4.1875+(0.0625*2)</f>
        <v>4.3125</v>
      </c>
      <c r="BC164" s="259">
        <f>7.625+(0.0625*4)</f>
        <v>7.875</v>
      </c>
      <c r="BD164" s="111">
        <f t="shared" ref="BD164:BD167" si="51">(BC164*BB164*BA164)/1728</f>
        <v>8.475494384765625E-2</v>
      </c>
      <c r="BE164" s="259">
        <f>2.35+0.1</f>
        <v>2.4500000000000002</v>
      </c>
      <c r="BF164" s="113">
        <f>13.375+(0.125*2)</f>
        <v>13.625</v>
      </c>
      <c r="BG164" s="113">
        <f>8.9475+(0.125*2)</f>
        <v>9.1974999999999998</v>
      </c>
      <c r="BH164" s="113">
        <f>8.125+(0.125*4)</f>
        <v>8.625</v>
      </c>
      <c r="BI164" s="111">
        <f t="shared" si="43"/>
        <v>0.6254918755425346</v>
      </c>
      <c r="BJ164" s="113">
        <f>(BE164*6)+0.25</f>
        <v>14.950000000000001</v>
      </c>
      <c r="BK164" s="341"/>
      <c r="BL164" s="341"/>
      <c r="BM164" s="251" t="s">
        <v>793</v>
      </c>
      <c r="BN164" s="251">
        <v>6</v>
      </c>
      <c r="BO164" s="251">
        <v>13</v>
      </c>
      <c r="BP164" s="251">
        <v>5</v>
      </c>
      <c r="BQ164" s="27">
        <f t="shared" si="44"/>
        <v>390</v>
      </c>
      <c r="BR164" s="27">
        <f t="shared" si="50"/>
        <v>1021.7500000000001</v>
      </c>
      <c r="BS164" s="27" t="s">
        <v>886</v>
      </c>
      <c r="BT164" s="27" t="s">
        <v>766</v>
      </c>
      <c r="BU164" s="276"/>
      <c r="BV164" s="276"/>
      <c r="BW164" s="276"/>
      <c r="BX164" s="14"/>
      <c r="BY164" s="14"/>
      <c r="BZ164" s="14"/>
      <c r="CA164" s="14"/>
      <c r="CB164" s="14"/>
      <c r="CC164" s="14"/>
      <c r="CD164" s="14"/>
      <c r="CE164" s="14"/>
    </row>
    <row r="165" spans="1:83" s="125" customFormat="1" x14ac:dyDescent="0.25">
      <c r="A165" s="278">
        <v>41927</v>
      </c>
      <c r="B165" s="278"/>
      <c r="C165" s="252" t="s">
        <v>1474</v>
      </c>
      <c r="D165" s="252" t="s">
        <v>60</v>
      </c>
      <c r="E165" s="252" t="s">
        <v>1116</v>
      </c>
      <c r="F165" s="274" t="s">
        <v>1475</v>
      </c>
      <c r="G165" s="31" t="s">
        <v>1476</v>
      </c>
      <c r="H165" s="264" t="s">
        <v>1477</v>
      </c>
      <c r="I165" s="31" t="s">
        <v>1478</v>
      </c>
      <c r="J165" s="31" t="s">
        <v>1479</v>
      </c>
      <c r="K165" s="25" t="s">
        <v>1480</v>
      </c>
      <c r="L165" s="26">
        <v>12065155020</v>
      </c>
      <c r="M165" s="254"/>
      <c r="N165" s="254"/>
      <c r="O165" s="254"/>
      <c r="P165" s="254"/>
      <c r="Q165" s="254"/>
      <c r="R165" s="254"/>
      <c r="S165" s="254"/>
      <c r="T165" s="254"/>
      <c r="U165" s="25"/>
      <c r="V165" s="33"/>
      <c r="W165" s="25"/>
      <c r="X165" s="33"/>
      <c r="Y165" s="25"/>
      <c r="Z165" s="33"/>
      <c r="AA165" s="25" t="s">
        <v>1481</v>
      </c>
      <c r="AB165" s="25" t="s">
        <v>1482</v>
      </c>
      <c r="AC165" s="31"/>
      <c r="AD165" s="31"/>
      <c r="AE165" s="31"/>
      <c r="AF165" s="31"/>
      <c r="AG165" s="31"/>
      <c r="AH165" s="31" t="s">
        <v>1483</v>
      </c>
      <c r="AI165" s="31"/>
      <c r="AJ165" s="31"/>
      <c r="AK165" s="262"/>
      <c r="AL165" s="31"/>
      <c r="AM165" s="31"/>
      <c r="AN165" s="31"/>
      <c r="AO165" s="31"/>
      <c r="AP165" s="31"/>
      <c r="AQ165" s="25"/>
      <c r="AR165" s="32">
        <v>66</v>
      </c>
      <c r="AS165" s="256" t="s">
        <v>1484</v>
      </c>
      <c r="AT165" s="257">
        <v>10038568738506</v>
      </c>
      <c r="AU165" s="36"/>
      <c r="AV165" s="36"/>
      <c r="AW165" s="36"/>
      <c r="AX165" s="279">
        <v>4.2300000000000004</v>
      </c>
      <c r="AY165" s="279">
        <v>5.8</v>
      </c>
      <c r="AZ165" s="38"/>
      <c r="BA165" s="111">
        <f>4.25+(0.018*2)</f>
        <v>4.2859999999999996</v>
      </c>
      <c r="BB165" s="111">
        <f>4.25+(0.018*2)</f>
        <v>4.2859999999999996</v>
      </c>
      <c r="BC165" s="111">
        <f>6+(0.018*4)</f>
        <v>6.0720000000000001</v>
      </c>
      <c r="BD165" s="111">
        <f t="shared" si="51"/>
        <v>6.4549422055555541E-2</v>
      </c>
      <c r="BE165" s="111">
        <f>1.7+0.1</f>
        <v>1.8</v>
      </c>
      <c r="BF165" s="259">
        <f>18+(0.153*2)</f>
        <v>18.306000000000001</v>
      </c>
      <c r="BG165" s="259">
        <f>13.5+(0.153*2)</f>
        <v>13.805999999999999</v>
      </c>
      <c r="BH165" s="259">
        <f>6.25+(0.153*4)</f>
        <v>6.8620000000000001</v>
      </c>
      <c r="BI165" s="111">
        <f t="shared" si="43"/>
        <v>1.0036176783749999</v>
      </c>
      <c r="BJ165" s="113">
        <f>(BE165*6)+0.25</f>
        <v>11.05</v>
      </c>
      <c r="BK165" s="341"/>
      <c r="BL165" s="341"/>
      <c r="BM165" s="251" t="s">
        <v>764</v>
      </c>
      <c r="BN165" s="251">
        <v>12</v>
      </c>
      <c r="BO165" s="251">
        <v>6</v>
      </c>
      <c r="BP165" s="251">
        <v>6</v>
      </c>
      <c r="BQ165" s="27">
        <f t="shared" si="44"/>
        <v>432</v>
      </c>
      <c r="BR165" s="27">
        <f t="shared" si="50"/>
        <v>447.80000000000007</v>
      </c>
      <c r="BS165" s="251" t="s">
        <v>886</v>
      </c>
      <c r="BT165" s="27" t="s">
        <v>766</v>
      </c>
      <c r="BU165" s="276"/>
      <c r="BV165" s="276"/>
      <c r="BW165" s="276"/>
      <c r="BX165" s="14"/>
      <c r="BY165" s="14"/>
      <c r="BZ165" s="14"/>
      <c r="CA165" s="14"/>
      <c r="CB165" s="14"/>
      <c r="CC165" s="14"/>
      <c r="CD165" s="14"/>
      <c r="CE165" s="14"/>
    </row>
    <row r="166" spans="1:83" s="125" customFormat="1" x14ac:dyDescent="0.25">
      <c r="A166" s="278">
        <v>41913</v>
      </c>
      <c r="B166" s="278"/>
      <c r="C166" s="252" t="s">
        <v>1485</v>
      </c>
      <c r="D166" s="252" t="s">
        <v>60</v>
      </c>
      <c r="E166" s="252" t="s">
        <v>1068</v>
      </c>
      <c r="F166" s="25" t="s">
        <v>1486</v>
      </c>
      <c r="G166" s="31" t="s">
        <v>1360</v>
      </c>
      <c r="H166" s="264" t="s">
        <v>1487</v>
      </c>
      <c r="I166" s="31"/>
      <c r="J166" s="31"/>
      <c r="K166" s="25"/>
      <c r="L166" s="26"/>
      <c r="M166" s="254"/>
      <c r="N166" s="254"/>
      <c r="O166" s="254"/>
      <c r="P166" s="254"/>
      <c r="Q166" s="254"/>
      <c r="R166" s="254"/>
      <c r="S166" s="254"/>
      <c r="T166" s="254"/>
      <c r="U166" s="25" t="s">
        <v>1488</v>
      </c>
      <c r="V166" s="33"/>
      <c r="W166" s="25"/>
      <c r="X166" s="33"/>
      <c r="Y166" s="25" t="s">
        <v>1489</v>
      </c>
      <c r="Z166" s="33"/>
      <c r="AA166" s="25"/>
      <c r="AB166" s="25"/>
      <c r="AC166" s="31"/>
      <c r="AD166" s="31"/>
      <c r="AE166" s="31"/>
      <c r="AF166" s="31"/>
      <c r="AG166" s="31"/>
      <c r="AH166" s="31"/>
      <c r="AI166" s="31"/>
      <c r="AJ166" s="31"/>
      <c r="AK166" s="262"/>
      <c r="AL166" s="31"/>
      <c r="AM166" s="31"/>
      <c r="AN166" s="31"/>
      <c r="AO166" s="31"/>
      <c r="AP166" s="31"/>
      <c r="AQ166" s="25" t="s">
        <v>1490</v>
      </c>
      <c r="AR166" s="32">
        <v>19.29</v>
      </c>
      <c r="AS166" s="210" t="s">
        <v>1491</v>
      </c>
      <c r="AT166" s="211">
        <v>10038568737615</v>
      </c>
      <c r="AU166" s="112">
        <v>7.87</v>
      </c>
      <c r="AV166" s="112">
        <v>8.0299999999999994</v>
      </c>
      <c r="AW166" s="112">
        <v>0.79</v>
      </c>
      <c r="AX166" s="38"/>
      <c r="AY166" s="38"/>
      <c r="AZ166" s="38"/>
      <c r="BA166" s="111">
        <f>8.07+(0.02*2)</f>
        <v>8.11</v>
      </c>
      <c r="BB166" s="111">
        <f>0.98+(0.02*2)</f>
        <v>1.02</v>
      </c>
      <c r="BC166" s="111">
        <f>8.27+(0.02*4)</f>
        <v>8.35</v>
      </c>
      <c r="BD166" s="111">
        <f t="shared" si="51"/>
        <v>3.997272569444444E-2</v>
      </c>
      <c r="BE166" s="111">
        <f>0.33+0.1</f>
        <v>0.43000000000000005</v>
      </c>
      <c r="BF166" s="259">
        <f>8.66+(0.125*2)</f>
        <v>8.91</v>
      </c>
      <c r="BG166" s="259">
        <f>8.46+(0.125*2)</f>
        <v>8.7100000000000009</v>
      </c>
      <c r="BH166" s="259">
        <f>6.5+(0.125*4)</f>
        <v>7</v>
      </c>
      <c r="BI166" s="111">
        <f t="shared" si="43"/>
        <v>0.31437656250000001</v>
      </c>
      <c r="BJ166" s="113">
        <f>(BE166*6)+0.25</f>
        <v>2.83</v>
      </c>
      <c r="BK166" s="341"/>
      <c r="BL166" s="341"/>
      <c r="BM166" s="251" t="s">
        <v>764</v>
      </c>
      <c r="BN166" s="251">
        <v>6</v>
      </c>
      <c r="BO166" s="251">
        <v>20</v>
      </c>
      <c r="BP166" s="251">
        <v>7</v>
      </c>
      <c r="BQ166" s="27">
        <f t="shared" si="44"/>
        <v>840</v>
      </c>
      <c r="BR166" s="27">
        <f t="shared" si="50"/>
        <v>446.2</v>
      </c>
      <c r="BS166" s="251" t="s">
        <v>769</v>
      </c>
      <c r="BT166" s="27" t="s">
        <v>766</v>
      </c>
      <c r="BU166" s="276"/>
      <c r="BV166" s="276"/>
      <c r="BW166" s="276"/>
      <c r="BX166" s="14"/>
      <c r="BY166" s="14"/>
      <c r="BZ166" s="14"/>
      <c r="CA166" s="14"/>
      <c r="CB166" s="14"/>
      <c r="CC166" s="14"/>
      <c r="CD166" s="14"/>
      <c r="CE166" s="14"/>
    </row>
    <row r="167" spans="1:83" s="125" customFormat="1" ht="30" x14ac:dyDescent="0.25">
      <c r="A167" s="278">
        <v>41913</v>
      </c>
      <c r="B167" s="278"/>
      <c r="C167" s="252" t="s">
        <v>1492</v>
      </c>
      <c r="D167" s="252" t="s">
        <v>60</v>
      </c>
      <c r="E167" s="252" t="s">
        <v>1068</v>
      </c>
      <c r="F167" s="26" t="s">
        <v>1493</v>
      </c>
      <c r="G167" s="31" t="s">
        <v>1351</v>
      </c>
      <c r="H167" s="264" t="s">
        <v>1494</v>
      </c>
      <c r="I167" s="31"/>
      <c r="J167" s="31"/>
      <c r="K167" s="25"/>
      <c r="L167" s="26"/>
      <c r="M167" s="254"/>
      <c r="N167" s="254"/>
      <c r="O167" s="254"/>
      <c r="P167" s="254"/>
      <c r="Q167" s="254"/>
      <c r="R167" s="254"/>
      <c r="S167" s="254"/>
      <c r="T167" s="254"/>
      <c r="U167" s="25" t="s">
        <v>1495</v>
      </c>
      <c r="V167" s="33"/>
      <c r="W167" s="25"/>
      <c r="X167" s="33"/>
      <c r="Y167" s="25" t="s">
        <v>1496</v>
      </c>
      <c r="Z167" s="33"/>
      <c r="AA167" s="25" t="s">
        <v>1497</v>
      </c>
      <c r="AB167" s="25"/>
      <c r="AC167" s="31"/>
      <c r="AD167" s="31"/>
      <c r="AE167" s="31"/>
      <c r="AF167" s="31"/>
      <c r="AG167" s="31"/>
      <c r="AH167" s="31"/>
      <c r="AI167" s="31"/>
      <c r="AJ167" s="31"/>
      <c r="AK167" s="262"/>
      <c r="AL167" s="31"/>
      <c r="AM167" s="31"/>
      <c r="AN167" s="31"/>
      <c r="AO167" s="31"/>
      <c r="AP167" s="31"/>
      <c r="AQ167" s="25">
        <v>49980</v>
      </c>
      <c r="AR167" s="32">
        <v>50.91</v>
      </c>
      <c r="AS167" s="271" t="s">
        <v>1498</v>
      </c>
      <c r="AT167" s="280">
        <v>10038568737851</v>
      </c>
      <c r="AU167" s="112">
        <v>19.84</v>
      </c>
      <c r="AV167" s="112">
        <v>2.34</v>
      </c>
      <c r="AW167" s="112">
        <v>11.26</v>
      </c>
      <c r="AX167" s="38"/>
      <c r="AY167" s="38"/>
      <c r="AZ167" s="38"/>
      <c r="BA167" s="111">
        <f>19.92+(0.02*2)</f>
        <v>19.96</v>
      </c>
      <c r="BB167" s="111">
        <f>11.42+(0.02*2)</f>
        <v>11.459999999999999</v>
      </c>
      <c r="BC167" s="111">
        <f>2.36+(0.02*4)</f>
        <v>2.44</v>
      </c>
      <c r="BD167" s="111">
        <f t="shared" si="51"/>
        <v>0.32299161111111113</v>
      </c>
      <c r="BE167" s="111">
        <f>1.4+0.1</f>
        <v>1.5</v>
      </c>
      <c r="BF167" s="259">
        <f>20.31+(0.125*2)</f>
        <v>20.56</v>
      </c>
      <c r="BG167" s="259">
        <f>11.81+(0.125*2)</f>
        <v>12.06</v>
      </c>
      <c r="BH167" s="259">
        <f>14.76+(0.125*4)</f>
        <v>15.26</v>
      </c>
      <c r="BI167" s="111">
        <f t="shared" si="43"/>
        <v>2.1896828333333334</v>
      </c>
      <c r="BJ167" s="113">
        <f>(BE167*6)+0.25</f>
        <v>9.25</v>
      </c>
      <c r="BK167" s="341"/>
      <c r="BL167" s="341"/>
      <c r="BM167" s="251" t="s">
        <v>764</v>
      </c>
      <c r="BN167" s="251">
        <v>6</v>
      </c>
      <c r="BO167" s="251">
        <v>6</v>
      </c>
      <c r="BP167" s="251">
        <v>3</v>
      </c>
      <c r="BQ167" s="27">
        <f t="shared" si="44"/>
        <v>108</v>
      </c>
      <c r="BR167" s="27">
        <f t="shared" si="50"/>
        <v>216.5</v>
      </c>
      <c r="BS167" s="251" t="s">
        <v>769</v>
      </c>
      <c r="BT167" s="27" t="s">
        <v>766</v>
      </c>
      <c r="BU167" s="276"/>
      <c r="BV167" s="276"/>
      <c r="BW167" s="276"/>
      <c r="BX167" s="14"/>
      <c r="BY167" s="14"/>
      <c r="BZ167" s="14"/>
      <c r="CA167" s="14"/>
      <c r="CB167" s="14"/>
      <c r="CC167" s="14"/>
      <c r="CD167" s="14"/>
      <c r="CE167" s="14"/>
    </row>
    <row r="168" spans="1:83" s="125" customFormat="1" x14ac:dyDescent="0.25">
      <c r="A168" s="278">
        <v>41897</v>
      </c>
      <c r="B168" s="278"/>
      <c r="C168" s="252" t="s">
        <v>1499</v>
      </c>
      <c r="D168" s="252" t="s">
        <v>60</v>
      </c>
      <c r="E168" s="252" t="s">
        <v>65</v>
      </c>
      <c r="F168" s="218" t="s">
        <v>1500</v>
      </c>
      <c r="G168" s="31" t="s">
        <v>1501</v>
      </c>
      <c r="H168" s="264" t="s">
        <v>1502</v>
      </c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81"/>
      <c r="V168" s="281"/>
      <c r="W168" s="281"/>
      <c r="X168" s="281"/>
      <c r="Y168" s="281"/>
      <c r="Z168" s="281"/>
      <c r="AA168" s="281"/>
      <c r="AB168" s="281"/>
      <c r="AC168" s="281"/>
      <c r="AD168" s="281"/>
      <c r="AE168" s="281"/>
      <c r="AF168" s="281"/>
      <c r="AG168" s="281"/>
      <c r="AH168" s="281"/>
      <c r="AI168" s="281"/>
      <c r="AJ168" s="281"/>
      <c r="AK168" s="281"/>
      <c r="AL168" s="281"/>
      <c r="AM168" s="281"/>
      <c r="AN168" s="281"/>
      <c r="AO168" s="281"/>
      <c r="AP168" s="281"/>
      <c r="AQ168" s="281"/>
      <c r="AR168" s="32">
        <v>19.98</v>
      </c>
      <c r="AS168" s="282" t="s">
        <v>1503</v>
      </c>
      <c r="AT168" s="282" t="s">
        <v>1504</v>
      </c>
      <c r="AU168" s="36"/>
      <c r="AV168" s="36"/>
      <c r="AW168" s="36"/>
      <c r="AX168" s="111">
        <v>3.65</v>
      </c>
      <c r="AY168" s="111">
        <v>6.48</v>
      </c>
      <c r="AZ168" s="36"/>
      <c r="BA168" s="397" t="s">
        <v>1505</v>
      </c>
      <c r="BB168" s="397"/>
      <c r="BC168" s="397"/>
      <c r="BD168" s="397"/>
      <c r="BE168" s="397"/>
      <c r="BF168" s="259">
        <v>15.81</v>
      </c>
      <c r="BG168" s="259">
        <v>11.93</v>
      </c>
      <c r="BH168" s="259">
        <v>7.5</v>
      </c>
      <c r="BI168" s="111">
        <f t="shared" si="43"/>
        <v>0.81863411458333324</v>
      </c>
      <c r="BJ168" s="259">
        <f>1.5*12+0.4</f>
        <v>18.399999999999999</v>
      </c>
      <c r="BK168" s="342"/>
      <c r="BL168" s="342"/>
      <c r="BM168" s="251" t="s">
        <v>764</v>
      </c>
      <c r="BN168" s="251">
        <v>12</v>
      </c>
      <c r="BO168" s="251">
        <v>10</v>
      </c>
      <c r="BP168" s="251">
        <v>6</v>
      </c>
      <c r="BQ168" s="27">
        <f t="shared" si="44"/>
        <v>720</v>
      </c>
      <c r="BR168" s="27">
        <f t="shared" si="50"/>
        <v>1154</v>
      </c>
      <c r="BS168" s="251" t="s">
        <v>886</v>
      </c>
      <c r="BT168" s="27" t="s">
        <v>766</v>
      </c>
      <c r="BU168" s="276"/>
      <c r="BV168" s="276"/>
      <c r="BW168" s="276"/>
      <c r="BX168" s="14"/>
      <c r="BY168" s="14"/>
      <c r="BZ168" s="14"/>
      <c r="CA168" s="14"/>
      <c r="CB168" s="14"/>
      <c r="CC168" s="14"/>
      <c r="CD168" s="14"/>
      <c r="CE168" s="14"/>
    </row>
    <row r="169" spans="1:83" s="125" customFormat="1" x14ac:dyDescent="0.25">
      <c r="A169" s="278">
        <v>41883</v>
      </c>
      <c r="B169" s="278"/>
      <c r="C169" s="252" t="s">
        <v>695</v>
      </c>
      <c r="D169" s="252" t="s">
        <v>60</v>
      </c>
      <c r="E169" s="252" t="s">
        <v>1506</v>
      </c>
      <c r="F169" s="218" t="s">
        <v>1507</v>
      </c>
      <c r="G169" s="31" t="s">
        <v>1508</v>
      </c>
      <c r="H169" s="31" t="s">
        <v>1509</v>
      </c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81"/>
      <c r="V169" s="281"/>
      <c r="W169" s="281"/>
      <c r="X169" s="281"/>
      <c r="Y169" s="25" t="s">
        <v>1510</v>
      </c>
      <c r="Z169" s="33"/>
      <c r="AA169" s="25"/>
      <c r="AB169" s="25"/>
      <c r="AC169" s="31"/>
      <c r="AD169" s="31"/>
      <c r="AE169" s="31"/>
      <c r="AF169" s="31"/>
      <c r="AG169" s="31"/>
      <c r="AH169" s="31"/>
      <c r="AI169" s="31"/>
      <c r="AJ169" s="31"/>
      <c r="AK169" s="262"/>
      <c r="AL169" s="31"/>
      <c r="AM169" s="31"/>
      <c r="AN169" s="31"/>
      <c r="AO169" s="31"/>
      <c r="AP169" s="31"/>
      <c r="AQ169" s="25"/>
      <c r="AR169" s="32">
        <v>27.65</v>
      </c>
      <c r="AS169" s="282" t="s">
        <v>1511</v>
      </c>
      <c r="AT169" s="282" t="s">
        <v>1512</v>
      </c>
      <c r="AU169" s="36"/>
      <c r="AV169" s="36"/>
      <c r="AW169" s="36"/>
      <c r="AX169" s="253">
        <v>4.66</v>
      </c>
      <c r="AY169" s="253">
        <v>10.6</v>
      </c>
      <c r="AZ169" s="36"/>
      <c r="BA169" s="396" t="s">
        <v>985</v>
      </c>
      <c r="BB169" s="396"/>
      <c r="BC169" s="396"/>
      <c r="BD169" s="396"/>
      <c r="BE169" s="396"/>
      <c r="BF169" s="113">
        <v>11.125</v>
      </c>
      <c r="BG169" s="113">
        <v>5.5</v>
      </c>
      <c r="BH169" s="113">
        <v>5.5</v>
      </c>
      <c r="BI169" s="111">
        <f>(BH169*BG169*BF169)/1728</f>
        <v>0.19475188078703703</v>
      </c>
      <c r="BJ169" s="251">
        <f>0.55+0.25</f>
        <v>0.8</v>
      </c>
      <c r="BK169" s="343"/>
      <c r="BL169" s="343"/>
      <c r="BM169" s="251" t="s">
        <v>764</v>
      </c>
      <c r="BN169" s="251">
        <v>1</v>
      </c>
      <c r="BO169" s="251">
        <v>48</v>
      </c>
      <c r="BP169" s="251">
        <v>4</v>
      </c>
      <c r="BQ169" s="27">
        <f>BN169*BO169*BP169</f>
        <v>192</v>
      </c>
      <c r="BR169" s="27">
        <f>(BJ169*BO169*BP169)+50</f>
        <v>203.60000000000002</v>
      </c>
      <c r="BS169" s="27" t="s">
        <v>886</v>
      </c>
      <c r="BT169" s="27" t="s">
        <v>766</v>
      </c>
      <c r="BU169" s="276"/>
      <c r="BV169" s="276"/>
      <c r="BW169" s="276"/>
      <c r="BX169" s="14"/>
      <c r="BY169" s="14"/>
      <c r="BZ169" s="14"/>
      <c r="CA169" s="14"/>
      <c r="CB169" s="14"/>
      <c r="CC169" s="14"/>
      <c r="CD169" s="14"/>
      <c r="CE169" s="14"/>
    </row>
    <row r="170" spans="1:83" s="125" customFormat="1" x14ac:dyDescent="0.25">
      <c r="A170" s="278">
        <v>41883</v>
      </c>
      <c r="B170" s="278"/>
      <c r="C170" s="252" t="s">
        <v>1513</v>
      </c>
      <c r="D170" s="252" t="s">
        <v>60</v>
      </c>
      <c r="E170" s="252" t="s">
        <v>1506</v>
      </c>
      <c r="F170" s="214" t="s">
        <v>1514</v>
      </c>
      <c r="G170" s="262" t="s">
        <v>856</v>
      </c>
      <c r="H170" s="31" t="s">
        <v>1515</v>
      </c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81"/>
      <c r="V170" s="281"/>
      <c r="W170" s="281"/>
      <c r="X170" s="281"/>
      <c r="Y170" s="25"/>
      <c r="Z170" s="33"/>
      <c r="AA170" s="25"/>
      <c r="AB170" s="25"/>
      <c r="AC170" s="31"/>
      <c r="AD170" s="31"/>
      <c r="AE170" s="31"/>
      <c r="AF170" s="31"/>
      <c r="AG170" s="31"/>
      <c r="AH170" s="31"/>
      <c r="AI170" s="31"/>
      <c r="AJ170" s="31"/>
      <c r="AK170" s="262"/>
      <c r="AL170" s="31"/>
      <c r="AM170" s="31"/>
      <c r="AN170" s="31"/>
      <c r="AO170" s="31"/>
      <c r="AP170" s="31"/>
      <c r="AQ170" s="25"/>
      <c r="AR170" s="32">
        <v>40.32</v>
      </c>
      <c r="AS170" s="282" t="s">
        <v>1516</v>
      </c>
      <c r="AT170" s="282" t="s">
        <v>1517</v>
      </c>
      <c r="AU170" s="36"/>
      <c r="AV170" s="36"/>
      <c r="AW170" s="36"/>
      <c r="AX170" s="112">
        <v>4.13</v>
      </c>
      <c r="AY170" s="112">
        <v>10.75</v>
      </c>
      <c r="AZ170" s="36"/>
      <c r="BA170" s="396" t="s">
        <v>985</v>
      </c>
      <c r="BB170" s="396"/>
      <c r="BC170" s="396"/>
      <c r="BD170" s="396"/>
      <c r="BE170" s="396"/>
      <c r="BF170" s="113">
        <v>4.4939999999999998</v>
      </c>
      <c r="BG170" s="113">
        <v>4.4939999999999998</v>
      </c>
      <c r="BH170" s="113">
        <v>11.612</v>
      </c>
      <c r="BI170" s="111">
        <f>(BH170*BG170*BF170)/1728</f>
        <v>0.13571549191666665</v>
      </c>
      <c r="BJ170" s="250">
        <v>3.1</v>
      </c>
      <c r="BK170" s="250"/>
      <c r="BL170" s="250"/>
      <c r="BM170" s="124" t="s">
        <v>764</v>
      </c>
      <c r="BN170" s="27">
        <v>1</v>
      </c>
      <c r="BO170" s="27">
        <v>90</v>
      </c>
      <c r="BP170" s="27">
        <v>3</v>
      </c>
      <c r="BQ170" s="27">
        <f>BN170*BO170*BP170</f>
        <v>270</v>
      </c>
      <c r="BR170" s="27">
        <f>(BJ170*BO170*BP170)+50</f>
        <v>887</v>
      </c>
      <c r="BS170" s="27" t="s">
        <v>886</v>
      </c>
      <c r="BT170" s="27" t="s">
        <v>766</v>
      </c>
      <c r="BU170" s="276"/>
      <c r="BV170" s="276"/>
      <c r="BW170" s="276"/>
      <c r="BX170" s="14"/>
      <c r="BY170" s="14"/>
      <c r="BZ170" s="14"/>
      <c r="CA170" s="14"/>
      <c r="CB170" s="14"/>
      <c r="CC170" s="14"/>
      <c r="CD170" s="14"/>
      <c r="CE170" s="14"/>
    </row>
    <row r="171" spans="1:83" s="125" customFormat="1" x14ac:dyDescent="0.25">
      <c r="A171" s="278">
        <v>41883</v>
      </c>
      <c r="B171" s="278"/>
      <c r="C171" s="252" t="s">
        <v>1518</v>
      </c>
      <c r="D171" s="252" t="s">
        <v>60</v>
      </c>
      <c r="E171" s="252" t="s">
        <v>65</v>
      </c>
      <c r="F171" s="218" t="s">
        <v>1519</v>
      </c>
      <c r="G171" s="262" t="s">
        <v>856</v>
      </c>
      <c r="H171" s="31">
        <v>3619554</v>
      </c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81"/>
      <c r="V171" s="281"/>
      <c r="W171" s="281"/>
      <c r="X171" s="281"/>
      <c r="Y171" s="25"/>
      <c r="Z171" s="33"/>
      <c r="AA171" s="25"/>
      <c r="AB171" s="25"/>
      <c r="AC171" s="31"/>
      <c r="AD171" s="31"/>
      <c r="AE171" s="31"/>
      <c r="AF171" s="31"/>
      <c r="AG171" s="31"/>
      <c r="AH171" s="31"/>
      <c r="AI171" s="31"/>
      <c r="AJ171" s="31"/>
      <c r="AK171" s="262"/>
      <c r="AL171" s="31"/>
      <c r="AM171" s="31"/>
      <c r="AN171" s="31"/>
      <c r="AO171" s="31"/>
      <c r="AP171" s="31"/>
      <c r="AQ171" s="25"/>
      <c r="AR171" s="32">
        <v>34.68</v>
      </c>
      <c r="AS171" s="282" t="s">
        <v>1520</v>
      </c>
      <c r="AT171" s="282" t="s">
        <v>1521</v>
      </c>
      <c r="AU171" s="36"/>
      <c r="AV171" s="36"/>
      <c r="AW171" s="36"/>
      <c r="AX171" s="253">
        <v>3.46</v>
      </c>
      <c r="AY171" s="253">
        <v>6.04</v>
      </c>
      <c r="AZ171" s="36"/>
      <c r="BA171" s="397" t="s">
        <v>1505</v>
      </c>
      <c r="BB171" s="397"/>
      <c r="BC171" s="397"/>
      <c r="BD171" s="397"/>
      <c r="BE171" s="397"/>
      <c r="BF171" s="259">
        <v>10.555999999999999</v>
      </c>
      <c r="BG171" s="259">
        <v>7.181</v>
      </c>
      <c r="BH171" s="259">
        <v>8.8620000000000001</v>
      </c>
      <c r="BI171" s="111">
        <f>(BH171*BG171*BF171)/1728</f>
        <v>0.38875171309722217</v>
      </c>
      <c r="BJ171" s="251">
        <v>6.4</v>
      </c>
      <c r="BK171" s="343"/>
      <c r="BL171" s="343"/>
      <c r="BM171" s="124" t="s">
        <v>764</v>
      </c>
      <c r="BN171" s="251">
        <v>6</v>
      </c>
      <c r="BO171" s="251">
        <v>20</v>
      </c>
      <c r="BP171" s="251">
        <v>5</v>
      </c>
      <c r="BQ171" s="27">
        <f>BN171*BO171*BP171</f>
        <v>600</v>
      </c>
      <c r="BR171" s="27">
        <f>(BJ171*BO171*BP171)+50</f>
        <v>690</v>
      </c>
      <c r="BS171" s="27" t="s">
        <v>886</v>
      </c>
      <c r="BT171" s="27" t="s">
        <v>766</v>
      </c>
      <c r="BU171" s="276"/>
      <c r="BV171" s="276"/>
      <c r="BW171" s="276"/>
      <c r="BX171" s="14"/>
      <c r="BY171" s="14"/>
      <c r="BZ171" s="14"/>
      <c r="CA171" s="14"/>
      <c r="CB171" s="14"/>
      <c r="CC171" s="14"/>
      <c r="CD171" s="14"/>
      <c r="CE171" s="14"/>
    </row>
    <row r="172" spans="1:83" s="125" customFormat="1" x14ac:dyDescent="0.25">
      <c r="A172" s="278">
        <v>41866</v>
      </c>
      <c r="B172" s="278"/>
      <c r="C172" s="252" t="s">
        <v>1522</v>
      </c>
      <c r="D172" s="252" t="s">
        <v>60</v>
      </c>
      <c r="E172" s="252" t="s">
        <v>65</v>
      </c>
      <c r="F172" s="214" t="s">
        <v>1523</v>
      </c>
      <c r="G172" s="31" t="s">
        <v>1524</v>
      </c>
      <c r="H172" s="31">
        <v>2864993</v>
      </c>
      <c r="I172" s="31"/>
      <c r="J172" s="31"/>
      <c r="K172" s="25"/>
      <c r="L172" s="26"/>
      <c r="M172" s="254"/>
      <c r="N172" s="254"/>
      <c r="O172" s="254"/>
      <c r="P172" s="254"/>
      <c r="Q172" s="275"/>
      <c r="R172" s="275"/>
      <c r="S172" s="275"/>
      <c r="T172" s="275"/>
      <c r="U172" s="25" t="s">
        <v>1525</v>
      </c>
      <c r="V172" s="33"/>
      <c r="W172" s="25"/>
      <c r="X172" s="33"/>
      <c r="Y172" s="25" t="s">
        <v>1526</v>
      </c>
      <c r="Z172" s="33"/>
      <c r="AA172" s="25" t="s">
        <v>1527</v>
      </c>
      <c r="AB172" s="25"/>
      <c r="AC172" s="31"/>
      <c r="AD172" s="31"/>
      <c r="AE172" s="31"/>
      <c r="AF172" s="31"/>
      <c r="AG172" s="31"/>
      <c r="AH172" s="31"/>
      <c r="AI172" s="31"/>
      <c r="AJ172" s="31"/>
      <c r="AK172" s="262"/>
      <c r="AL172" s="31"/>
      <c r="AM172" s="31"/>
      <c r="AN172" s="31"/>
      <c r="AO172" s="31"/>
      <c r="AP172" s="31"/>
      <c r="AQ172" s="25"/>
      <c r="AR172" s="32">
        <v>62.99</v>
      </c>
      <c r="AS172" s="282" t="s">
        <v>1528</v>
      </c>
      <c r="AT172" s="282" t="s">
        <v>1529</v>
      </c>
      <c r="AU172" s="282"/>
      <c r="AV172" s="282"/>
      <c r="AW172" s="282"/>
      <c r="AX172" s="282"/>
      <c r="AY172" s="282"/>
      <c r="AZ172" s="282"/>
      <c r="BA172" s="397" t="s">
        <v>1505</v>
      </c>
      <c r="BB172" s="397"/>
      <c r="BC172" s="397"/>
      <c r="BD172" s="397"/>
      <c r="BE172" s="397"/>
      <c r="BF172" s="113">
        <v>14.87</v>
      </c>
      <c r="BG172" s="113">
        <v>10</v>
      </c>
      <c r="BH172" s="113">
        <v>10.5</v>
      </c>
      <c r="BI172" s="111">
        <f t="shared" ref="BI172:BI173" si="52">(BH172*BG172*BF172)/1728</f>
        <v>0.90355902777777775</v>
      </c>
      <c r="BJ172" s="250">
        <f>4.012+0.25</f>
        <v>4.2619999999999996</v>
      </c>
      <c r="BK172" s="250"/>
      <c r="BL172" s="250"/>
      <c r="BM172" s="124" t="s">
        <v>764</v>
      </c>
      <c r="BN172" s="27">
        <v>6</v>
      </c>
      <c r="BO172" s="27">
        <v>12</v>
      </c>
      <c r="BP172" s="27">
        <v>4</v>
      </c>
      <c r="BQ172" s="27">
        <f>BN172*BO172*BP172</f>
        <v>288</v>
      </c>
      <c r="BR172" s="27">
        <f>(BJ172*BO172*BP172)+50</f>
        <v>254.57599999999996</v>
      </c>
      <c r="BS172" s="27" t="s">
        <v>886</v>
      </c>
      <c r="BT172" s="27" t="s">
        <v>766</v>
      </c>
      <c r="BU172" s="276"/>
      <c r="BV172" s="276"/>
      <c r="BW172" s="276"/>
      <c r="BX172" s="14"/>
      <c r="BY172" s="14"/>
      <c r="BZ172" s="14"/>
      <c r="CA172" s="14"/>
      <c r="CB172" s="14"/>
      <c r="CC172" s="14"/>
      <c r="CD172" s="14"/>
      <c r="CE172" s="14"/>
    </row>
    <row r="173" spans="1:83" s="125" customFormat="1" x14ac:dyDescent="0.25">
      <c r="A173" s="278">
        <v>41866</v>
      </c>
      <c r="B173" s="278"/>
      <c r="C173" s="252" t="s">
        <v>1530</v>
      </c>
      <c r="D173" s="252" t="s">
        <v>60</v>
      </c>
      <c r="E173" s="252" t="s">
        <v>65</v>
      </c>
      <c r="F173" s="214" t="s">
        <v>1531</v>
      </c>
      <c r="G173" s="31" t="s">
        <v>759</v>
      </c>
      <c r="H173" s="31" t="s">
        <v>1532</v>
      </c>
      <c r="I173" s="31" t="s">
        <v>1533</v>
      </c>
      <c r="J173" s="31" t="s">
        <v>1534</v>
      </c>
      <c r="K173" s="25"/>
      <c r="L173" s="26"/>
      <c r="M173" s="254"/>
      <c r="N173" s="254"/>
      <c r="O173" s="254"/>
      <c r="P173" s="254"/>
      <c r="Q173" s="275"/>
      <c r="R173" s="275"/>
      <c r="S173" s="275"/>
      <c r="T173" s="275"/>
      <c r="U173" s="25"/>
      <c r="V173" s="33"/>
      <c r="W173" s="25"/>
      <c r="X173" s="33"/>
      <c r="Y173" s="25"/>
      <c r="Z173" s="33"/>
      <c r="AA173" s="25"/>
      <c r="AB173" s="25"/>
      <c r="AC173" s="31"/>
      <c r="AD173" s="31"/>
      <c r="AE173" s="31"/>
      <c r="AF173" s="31"/>
      <c r="AG173" s="31"/>
      <c r="AH173" s="31"/>
      <c r="AI173" s="31"/>
      <c r="AJ173" s="31"/>
      <c r="AK173" s="262"/>
      <c r="AL173" s="31"/>
      <c r="AM173" s="31"/>
      <c r="AN173" s="31"/>
      <c r="AO173" s="31"/>
      <c r="AP173" s="31"/>
      <c r="AQ173" s="25"/>
      <c r="AR173" s="32">
        <v>174.64</v>
      </c>
      <c r="AS173" s="282" t="s">
        <v>1535</v>
      </c>
      <c r="AT173" s="282" t="s">
        <v>1536</v>
      </c>
      <c r="AU173" s="282"/>
      <c r="AV173" s="282"/>
      <c r="AW173" s="282"/>
      <c r="AX173" s="282"/>
      <c r="AY173" s="282"/>
      <c r="AZ173" s="282"/>
      <c r="BA173" s="396" t="s">
        <v>985</v>
      </c>
      <c r="BB173" s="396"/>
      <c r="BC173" s="396"/>
      <c r="BD173" s="396"/>
      <c r="BE173" s="396"/>
      <c r="BF173" s="113">
        <v>6.75</v>
      </c>
      <c r="BG173" s="113">
        <v>6.25</v>
      </c>
      <c r="BH173" s="113">
        <v>12.12</v>
      </c>
      <c r="BI173" s="111">
        <f t="shared" si="52"/>
        <v>0.2958984375</v>
      </c>
      <c r="BJ173" s="251">
        <v>1.65</v>
      </c>
      <c r="BK173" s="343"/>
      <c r="BL173" s="343"/>
      <c r="BM173" s="251" t="s">
        <v>764</v>
      </c>
      <c r="BN173" s="251">
        <v>1</v>
      </c>
      <c r="BO173" s="251">
        <v>42</v>
      </c>
      <c r="BP173" s="251">
        <v>3</v>
      </c>
      <c r="BQ173" s="27">
        <f t="shared" ref="BQ173" si="53">BN173*BO173*BP173</f>
        <v>126</v>
      </c>
      <c r="BR173" s="27">
        <f t="shared" ref="BR173" si="54">(BJ173*BO173*BP173)+50</f>
        <v>257.89999999999998</v>
      </c>
      <c r="BS173" s="27" t="s">
        <v>946</v>
      </c>
      <c r="BT173" s="27" t="s">
        <v>766</v>
      </c>
      <c r="BU173" s="276"/>
      <c r="BV173" s="276"/>
      <c r="BW173" s="276"/>
      <c r="BX173" s="14"/>
      <c r="BY173" s="14"/>
      <c r="BZ173" s="14"/>
      <c r="CA173" s="14"/>
      <c r="CB173" s="14"/>
      <c r="CC173" s="14"/>
      <c r="CD173" s="14"/>
      <c r="CE173" s="14"/>
    </row>
    <row r="174" spans="1:83" s="125" customFormat="1" x14ac:dyDescent="0.25">
      <c r="A174" s="278">
        <v>41852</v>
      </c>
      <c r="B174" s="278"/>
      <c r="C174" s="252" t="s">
        <v>1537</v>
      </c>
      <c r="D174" s="252" t="s">
        <v>60</v>
      </c>
      <c r="E174" s="283" t="s">
        <v>1538</v>
      </c>
      <c r="F174" s="214" t="s">
        <v>1539</v>
      </c>
      <c r="G174" s="31" t="s">
        <v>980</v>
      </c>
      <c r="H174" s="31" t="s">
        <v>1540</v>
      </c>
      <c r="I174" s="31" t="s">
        <v>980</v>
      </c>
      <c r="J174" s="31" t="s">
        <v>1541</v>
      </c>
      <c r="K174" s="25"/>
      <c r="L174" s="26"/>
      <c r="M174" s="254"/>
      <c r="N174" s="254"/>
      <c r="O174" s="254"/>
      <c r="P174" s="254"/>
      <c r="Q174" s="254"/>
      <c r="R174" s="254"/>
      <c r="S174" s="254"/>
      <c r="T174" s="254"/>
      <c r="U174" s="25" t="s">
        <v>1542</v>
      </c>
      <c r="V174" s="33"/>
      <c r="W174" s="25"/>
      <c r="X174" s="33"/>
      <c r="Y174" s="25" t="s">
        <v>1543</v>
      </c>
      <c r="Z174" s="33"/>
      <c r="AA174" s="25" t="s">
        <v>1544</v>
      </c>
      <c r="AB174" s="25"/>
      <c r="AC174" s="31"/>
      <c r="AD174" s="31"/>
      <c r="AE174" s="31"/>
      <c r="AF174" s="31"/>
      <c r="AG174" s="31"/>
      <c r="AH174" s="31"/>
      <c r="AI174" s="31"/>
      <c r="AJ174" s="31"/>
      <c r="AK174" s="262"/>
      <c r="AL174" s="31"/>
      <c r="AM174" s="31"/>
      <c r="AN174" s="31"/>
      <c r="AO174" s="31"/>
      <c r="AP174" s="31"/>
      <c r="AQ174" s="25">
        <v>49096</v>
      </c>
      <c r="AR174" s="32">
        <v>52.98</v>
      </c>
      <c r="AS174" s="49" t="s">
        <v>1545</v>
      </c>
      <c r="AT174" s="284">
        <v>10038568738407</v>
      </c>
      <c r="AU174" s="284"/>
      <c r="AV174" s="284"/>
      <c r="AW174" s="284"/>
      <c r="AX174" s="284"/>
      <c r="AY174" s="284"/>
      <c r="AZ174" s="284"/>
      <c r="BA174" s="251" t="s">
        <v>1546</v>
      </c>
      <c r="BB174" s="251" t="s">
        <v>1546</v>
      </c>
      <c r="BC174" s="251" t="s">
        <v>1546</v>
      </c>
      <c r="BD174" s="111" t="s">
        <v>1547</v>
      </c>
      <c r="BE174" s="251" t="s">
        <v>1548</v>
      </c>
      <c r="BF174" s="113">
        <v>24</v>
      </c>
      <c r="BG174" s="113">
        <v>5.5</v>
      </c>
      <c r="BH174" s="113">
        <v>3.5</v>
      </c>
      <c r="BI174" s="111" t="s">
        <v>1547</v>
      </c>
      <c r="BJ174" s="251" t="s">
        <v>1548</v>
      </c>
      <c r="BK174" s="343"/>
      <c r="BL174" s="343"/>
      <c r="BM174" s="124" t="s">
        <v>764</v>
      </c>
      <c r="BN174" s="27">
        <v>1</v>
      </c>
      <c r="BO174" s="27">
        <v>14</v>
      </c>
      <c r="BP174" s="27">
        <v>12</v>
      </c>
      <c r="BQ174" s="27">
        <v>168</v>
      </c>
      <c r="BR174" s="27" t="s">
        <v>1549</v>
      </c>
      <c r="BS174" s="27" t="s">
        <v>1550</v>
      </c>
      <c r="BT174" s="27" t="s">
        <v>766</v>
      </c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</row>
    <row r="175" spans="1:83" s="125" customFormat="1" ht="30" x14ac:dyDescent="0.25">
      <c r="A175" s="278">
        <v>41852</v>
      </c>
      <c r="B175" s="278"/>
      <c r="C175" s="252" t="s">
        <v>1551</v>
      </c>
      <c r="D175" s="252" t="s">
        <v>60</v>
      </c>
      <c r="E175" s="252" t="s">
        <v>1462</v>
      </c>
      <c r="F175" s="214" t="s">
        <v>1552</v>
      </c>
      <c r="G175" s="31" t="s">
        <v>847</v>
      </c>
      <c r="H175" s="31" t="s">
        <v>1553</v>
      </c>
      <c r="I175" s="31"/>
      <c r="J175" s="31"/>
      <c r="K175" s="25"/>
      <c r="L175" s="26"/>
      <c r="M175" s="254"/>
      <c r="N175" s="254"/>
      <c r="O175" s="254"/>
      <c r="P175" s="254"/>
      <c r="Q175" s="254"/>
      <c r="R175" s="254"/>
      <c r="S175" s="254"/>
      <c r="T175" s="254"/>
      <c r="U175" s="25" t="s">
        <v>1554</v>
      </c>
      <c r="V175" s="33"/>
      <c r="W175" s="25"/>
      <c r="X175" s="33"/>
      <c r="Y175" s="25" t="s">
        <v>1555</v>
      </c>
      <c r="Z175" s="33"/>
      <c r="AA175" s="25" t="s">
        <v>1556</v>
      </c>
      <c r="AB175" s="25"/>
      <c r="AC175" s="31"/>
      <c r="AD175" s="31"/>
      <c r="AE175" s="31"/>
      <c r="AF175" s="31"/>
      <c r="AG175" s="31"/>
      <c r="AH175" s="31"/>
      <c r="AI175" s="31"/>
      <c r="AJ175" s="31"/>
      <c r="AK175" s="262"/>
      <c r="AL175" s="31"/>
      <c r="AM175" s="31"/>
      <c r="AN175" s="31"/>
      <c r="AO175" s="31"/>
      <c r="AP175" s="31"/>
      <c r="AQ175" s="25"/>
      <c r="AR175" s="32">
        <v>50.81</v>
      </c>
      <c r="AS175" s="49" t="s">
        <v>1557</v>
      </c>
      <c r="AT175" s="284">
        <v>10038568738452</v>
      </c>
      <c r="AU175" s="284"/>
      <c r="AV175" s="284"/>
      <c r="AW175" s="284"/>
      <c r="AX175" s="284"/>
      <c r="AY175" s="284"/>
      <c r="AZ175" s="284"/>
      <c r="BA175" s="251" t="s">
        <v>1546</v>
      </c>
      <c r="BB175" s="251" t="s">
        <v>1546</v>
      </c>
      <c r="BC175" s="251" t="s">
        <v>1546</v>
      </c>
      <c r="BD175" s="111" t="s">
        <v>1558</v>
      </c>
      <c r="BE175" s="251" t="s">
        <v>1559</v>
      </c>
      <c r="BF175" s="113">
        <v>3</v>
      </c>
      <c r="BG175" s="113">
        <v>3</v>
      </c>
      <c r="BH175" s="113">
        <v>5.5</v>
      </c>
      <c r="BI175" s="111" t="s">
        <v>1558</v>
      </c>
      <c r="BJ175" s="251" t="s">
        <v>1559</v>
      </c>
      <c r="BK175" s="343"/>
      <c r="BL175" s="343"/>
      <c r="BM175" s="124" t="s">
        <v>764</v>
      </c>
      <c r="BN175" s="251">
        <v>1</v>
      </c>
      <c r="BO175" s="251">
        <v>40</v>
      </c>
      <c r="BP175" s="251">
        <v>11</v>
      </c>
      <c r="BQ175" s="27">
        <v>440</v>
      </c>
      <c r="BR175" s="27" t="s">
        <v>1560</v>
      </c>
      <c r="BS175" s="27" t="s">
        <v>1561</v>
      </c>
      <c r="BT175" s="27" t="s">
        <v>766</v>
      </c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</row>
    <row r="176" spans="1:83" s="125" customFormat="1" ht="30" x14ac:dyDescent="0.25">
      <c r="A176" s="278">
        <v>41835</v>
      </c>
      <c r="B176" s="278"/>
      <c r="C176" s="252" t="s">
        <v>1562</v>
      </c>
      <c r="D176" s="252" t="s">
        <v>60</v>
      </c>
      <c r="E176" s="252" t="s">
        <v>1506</v>
      </c>
      <c r="F176" s="214" t="s">
        <v>1563</v>
      </c>
      <c r="G176" s="31" t="s">
        <v>1303</v>
      </c>
      <c r="H176" s="31" t="s">
        <v>1564</v>
      </c>
      <c r="I176" s="31" t="s">
        <v>1303</v>
      </c>
      <c r="J176" s="31" t="s">
        <v>1565</v>
      </c>
      <c r="K176" s="25"/>
      <c r="L176" s="26"/>
      <c r="M176" s="254"/>
      <c r="N176" s="254"/>
      <c r="O176" s="254"/>
      <c r="P176" s="254"/>
      <c r="Q176" s="254"/>
      <c r="R176" s="254"/>
      <c r="S176" s="254"/>
      <c r="T176" s="254"/>
      <c r="U176" s="25" t="s">
        <v>1566</v>
      </c>
      <c r="V176" s="33"/>
      <c r="W176" s="25"/>
      <c r="X176" s="33"/>
      <c r="Y176" s="25" t="s">
        <v>1567</v>
      </c>
      <c r="Z176" s="33"/>
      <c r="AA176" s="25" t="s">
        <v>1568</v>
      </c>
      <c r="AB176" s="25" t="s">
        <v>1569</v>
      </c>
      <c r="AC176" s="31"/>
      <c r="AD176" s="31"/>
      <c r="AE176" s="31"/>
      <c r="AF176" s="31"/>
      <c r="AG176" s="31"/>
      <c r="AH176" s="31"/>
      <c r="AI176" s="31"/>
      <c r="AJ176" s="31"/>
      <c r="AK176" s="262"/>
      <c r="AL176" s="31"/>
      <c r="AM176" s="31"/>
      <c r="AN176" s="31"/>
      <c r="AO176" s="31"/>
      <c r="AP176" s="31"/>
      <c r="AQ176" s="25" t="s">
        <v>1570</v>
      </c>
      <c r="AR176" s="32">
        <v>53.25</v>
      </c>
      <c r="AS176" s="282" t="s">
        <v>1571</v>
      </c>
      <c r="AT176" s="282" t="s">
        <v>1572</v>
      </c>
      <c r="AU176" s="282"/>
      <c r="AV176" s="282"/>
      <c r="AW176" s="282"/>
      <c r="AX176" s="282"/>
      <c r="AY176" s="282"/>
      <c r="AZ176" s="282"/>
      <c r="BA176" s="396" t="s">
        <v>985</v>
      </c>
      <c r="BB176" s="396"/>
      <c r="BC176" s="396"/>
      <c r="BD176" s="396"/>
      <c r="BE176" s="396"/>
      <c r="BF176" s="113">
        <v>11.4</v>
      </c>
      <c r="BG176" s="113">
        <v>10.37</v>
      </c>
      <c r="BH176" s="113">
        <v>10.62</v>
      </c>
      <c r="BI176" s="111">
        <f t="shared" ref="BI176:BI202" si="55">(BH176*BG176*BF176)/1728</f>
        <v>0.72654812499999999</v>
      </c>
      <c r="BJ176" s="113">
        <f>3.94+0.25</f>
        <v>4.1899999999999995</v>
      </c>
      <c r="BK176" s="341"/>
      <c r="BL176" s="341"/>
      <c r="BM176" s="124" t="s">
        <v>764</v>
      </c>
      <c r="BN176" s="27">
        <v>1</v>
      </c>
      <c r="BO176" s="27">
        <v>12</v>
      </c>
      <c r="BP176" s="27">
        <v>3</v>
      </c>
      <c r="BQ176" s="27">
        <f t="shared" ref="BQ176:BQ194" si="56">BN176*BO176*BP176</f>
        <v>36</v>
      </c>
      <c r="BR176" s="27">
        <f t="shared" ref="BR176:BR185" si="57">(BJ176*BO176*BP176)+50</f>
        <v>200.83999999999997</v>
      </c>
      <c r="BS176" s="27" t="s">
        <v>886</v>
      </c>
      <c r="BT176" s="27" t="s">
        <v>766</v>
      </c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</row>
    <row r="177" spans="1:83" s="125" customFormat="1" ht="30" x14ac:dyDescent="0.25">
      <c r="A177" s="278">
        <v>41835</v>
      </c>
      <c r="B177" s="278"/>
      <c r="C177" s="252" t="s">
        <v>1573</v>
      </c>
      <c r="D177" s="252" t="s">
        <v>60</v>
      </c>
      <c r="E177" s="252" t="s">
        <v>1506</v>
      </c>
      <c r="F177" s="214" t="s">
        <v>1574</v>
      </c>
      <c r="G177" s="31" t="s">
        <v>1360</v>
      </c>
      <c r="H177" s="31">
        <v>6001856110</v>
      </c>
      <c r="I177" s="31"/>
      <c r="J177" s="31"/>
      <c r="K177" s="25"/>
      <c r="L177" s="26"/>
      <c r="M177" s="254"/>
      <c r="N177" s="254"/>
      <c r="O177" s="254"/>
      <c r="P177" s="254"/>
      <c r="Q177" s="254"/>
      <c r="R177" s="254"/>
      <c r="S177" s="254"/>
      <c r="T177" s="254"/>
      <c r="U177" s="25" t="s">
        <v>1575</v>
      </c>
      <c r="V177" s="33"/>
      <c r="W177" s="25"/>
      <c r="X177" s="33"/>
      <c r="Y177" s="25" t="s">
        <v>1576</v>
      </c>
      <c r="Z177" s="33"/>
      <c r="AA177" s="25" t="s">
        <v>1577</v>
      </c>
      <c r="AB177" s="25" t="s">
        <v>1578</v>
      </c>
      <c r="AC177" s="31"/>
      <c r="AD177" s="31"/>
      <c r="AE177" s="31"/>
      <c r="AF177" s="31"/>
      <c r="AG177" s="31"/>
      <c r="AH177" s="31"/>
      <c r="AI177" s="31"/>
      <c r="AJ177" s="31"/>
      <c r="AK177" s="262"/>
      <c r="AL177" s="31"/>
      <c r="AM177" s="31"/>
      <c r="AN177" s="31"/>
      <c r="AO177" s="31"/>
      <c r="AP177" s="31"/>
      <c r="AQ177" s="25" t="s">
        <v>1579</v>
      </c>
      <c r="AR177" s="32">
        <v>105.79</v>
      </c>
      <c r="AS177" s="282" t="s">
        <v>1571</v>
      </c>
      <c r="AT177" s="282" t="s">
        <v>1572</v>
      </c>
      <c r="AU177" s="282"/>
      <c r="AV177" s="282"/>
      <c r="AW177" s="282"/>
      <c r="AX177" s="282"/>
      <c r="AY177" s="282"/>
      <c r="AZ177" s="282"/>
      <c r="BA177" s="396" t="s">
        <v>985</v>
      </c>
      <c r="BB177" s="396"/>
      <c r="BC177" s="396"/>
      <c r="BD177" s="396"/>
      <c r="BE177" s="396"/>
      <c r="BF177" s="113">
        <v>21.306000000000001</v>
      </c>
      <c r="BG177" s="113">
        <v>13.366</v>
      </c>
      <c r="BH177" s="113">
        <v>13.672000000000001</v>
      </c>
      <c r="BI177" s="111">
        <f t="shared" si="55"/>
        <v>2.2531582276111113</v>
      </c>
      <c r="BJ177" s="113">
        <v>8.85</v>
      </c>
      <c r="BK177" s="341"/>
      <c r="BL177" s="341"/>
      <c r="BM177" s="124" t="s">
        <v>764</v>
      </c>
      <c r="BN177" s="27">
        <v>1</v>
      </c>
      <c r="BO177" s="27">
        <v>9</v>
      </c>
      <c r="BP177" s="27">
        <v>2</v>
      </c>
      <c r="BQ177" s="27">
        <f t="shared" si="56"/>
        <v>18</v>
      </c>
      <c r="BR177" s="27">
        <f t="shared" si="57"/>
        <v>209.29999999999998</v>
      </c>
      <c r="BS177" s="27" t="s">
        <v>886</v>
      </c>
      <c r="BT177" s="27" t="s">
        <v>766</v>
      </c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</row>
    <row r="178" spans="1:83" s="125" customFormat="1" x14ac:dyDescent="0.25">
      <c r="A178" s="278">
        <v>41835</v>
      </c>
      <c r="B178" s="278"/>
      <c r="C178" s="31" t="s">
        <v>1580</v>
      </c>
      <c r="D178" s="250" t="s">
        <v>60</v>
      </c>
      <c r="E178" s="252" t="s">
        <v>1581</v>
      </c>
      <c r="F178" s="274" t="s">
        <v>1582</v>
      </c>
      <c r="G178" s="31" t="s">
        <v>1583</v>
      </c>
      <c r="H178" s="31" t="s">
        <v>1584</v>
      </c>
      <c r="I178" s="31"/>
      <c r="J178" s="31"/>
      <c r="K178" s="25"/>
      <c r="L178" s="26"/>
      <c r="M178" s="254"/>
      <c r="N178" s="254"/>
      <c r="O178" s="254"/>
      <c r="P178" s="254"/>
      <c r="Q178" s="254"/>
      <c r="R178" s="254"/>
      <c r="S178" s="254"/>
      <c r="T178" s="254"/>
      <c r="U178" s="25" t="s">
        <v>1585</v>
      </c>
      <c r="V178" s="33"/>
      <c r="W178" s="25"/>
      <c r="X178" s="33"/>
      <c r="Y178" s="25" t="s">
        <v>1586</v>
      </c>
      <c r="Z178" s="33"/>
      <c r="AA178" s="25" t="s">
        <v>1587</v>
      </c>
      <c r="AB178" s="214"/>
      <c r="AC178" s="31"/>
      <c r="AD178" s="31"/>
      <c r="AE178" s="31"/>
      <c r="AF178" s="31"/>
      <c r="AG178" s="31"/>
      <c r="AH178" s="31"/>
      <c r="AI178" s="31"/>
      <c r="AJ178" s="31"/>
      <c r="AK178" s="262"/>
      <c r="AL178" s="31"/>
      <c r="AM178" s="31"/>
      <c r="AN178" s="31"/>
      <c r="AO178" s="31"/>
      <c r="AP178" s="31"/>
      <c r="AQ178" s="25" t="s">
        <v>1588</v>
      </c>
      <c r="AR178" s="32">
        <v>54.11</v>
      </c>
      <c r="AS178" s="282" t="s">
        <v>1589</v>
      </c>
      <c r="AT178" s="282" t="s">
        <v>1590</v>
      </c>
      <c r="AU178" s="282"/>
      <c r="AV178" s="282"/>
      <c r="AW178" s="282"/>
      <c r="AX178" s="282"/>
      <c r="AY178" s="282"/>
      <c r="AZ178" s="282"/>
      <c r="BA178" s="396" t="s">
        <v>985</v>
      </c>
      <c r="BB178" s="396"/>
      <c r="BC178" s="396"/>
      <c r="BD178" s="396"/>
      <c r="BE178" s="396"/>
      <c r="BF178" s="113">
        <v>2.625</v>
      </c>
      <c r="BG178" s="113">
        <v>2.625</v>
      </c>
      <c r="BH178" s="113">
        <v>10.875</v>
      </c>
      <c r="BI178" s="111">
        <f t="shared" si="55"/>
        <v>4.3365478515625E-2</v>
      </c>
      <c r="BJ178" s="113">
        <f>0.3+0.25</f>
        <v>0.55000000000000004</v>
      </c>
      <c r="BK178" s="341"/>
      <c r="BL178" s="341"/>
      <c r="BM178" s="124" t="s">
        <v>764</v>
      </c>
      <c r="BN178" s="27">
        <v>1</v>
      </c>
      <c r="BO178" s="27">
        <v>40</v>
      </c>
      <c r="BP178" s="27">
        <v>18</v>
      </c>
      <c r="BQ178" s="27">
        <f t="shared" si="56"/>
        <v>720</v>
      </c>
      <c r="BR178" s="27">
        <f t="shared" si="57"/>
        <v>446</v>
      </c>
      <c r="BS178" s="27" t="s">
        <v>1160</v>
      </c>
      <c r="BT178" s="27" t="s">
        <v>766</v>
      </c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</row>
    <row r="179" spans="1:83" s="125" customFormat="1" ht="30" x14ac:dyDescent="0.25">
      <c r="A179" s="278">
        <v>41835</v>
      </c>
      <c r="B179" s="278"/>
      <c r="C179" s="285" t="s">
        <v>1591</v>
      </c>
      <c r="D179" s="250" t="s">
        <v>60</v>
      </c>
      <c r="E179" s="252" t="s">
        <v>696</v>
      </c>
      <c r="F179" s="274" t="s">
        <v>1592</v>
      </c>
      <c r="G179" s="31" t="s">
        <v>980</v>
      </c>
      <c r="H179" s="31" t="s">
        <v>1593</v>
      </c>
      <c r="I179" s="31"/>
      <c r="J179" s="31"/>
      <c r="K179" s="25"/>
      <c r="L179" s="26"/>
      <c r="M179" s="254"/>
      <c r="N179" s="254"/>
      <c r="O179" s="254"/>
      <c r="P179" s="254"/>
      <c r="Q179" s="254"/>
      <c r="R179" s="254"/>
      <c r="S179" s="254"/>
      <c r="T179" s="254"/>
      <c r="U179" s="25" t="s">
        <v>1594</v>
      </c>
      <c r="V179" s="33"/>
      <c r="W179" s="25"/>
      <c r="X179" s="33"/>
      <c r="Y179" s="25" t="s">
        <v>1595</v>
      </c>
      <c r="Z179" s="33"/>
      <c r="AA179" s="25"/>
      <c r="AB179" s="214"/>
      <c r="AC179" s="31"/>
      <c r="AD179" s="31"/>
      <c r="AE179" s="31"/>
      <c r="AF179" s="31"/>
      <c r="AG179" s="31"/>
      <c r="AH179" s="31"/>
      <c r="AI179" s="31"/>
      <c r="AJ179" s="31"/>
      <c r="AK179" s="262"/>
      <c r="AL179" s="31"/>
      <c r="AM179" s="31"/>
      <c r="AN179" s="31"/>
      <c r="AO179" s="31"/>
      <c r="AP179" s="31"/>
      <c r="AQ179" s="25" t="s">
        <v>1596</v>
      </c>
      <c r="AR179" s="32">
        <v>161.66</v>
      </c>
      <c r="AS179" s="282" t="s">
        <v>1597</v>
      </c>
      <c r="AT179" s="282" t="s">
        <v>1598</v>
      </c>
      <c r="AU179" s="282"/>
      <c r="AV179" s="282"/>
      <c r="AW179" s="282"/>
      <c r="AX179" s="282"/>
      <c r="AY179" s="282"/>
      <c r="AZ179" s="282"/>
      <c r="BA179" s="396" t="s">
        <v>985</v>
      </c>
      <c r="BB179" s="396"/>
      <c r="BC179" s="396"/>
      <c r="BD179" s="396"/>
      <c r="BE179" s="396"/>
      <c r="BF179" s="113">
        <v>13.180999999999999</v>
      </c>
      <c r="BG179" s="113">
        <v>13.180999999999999</v>
      </c>
      <c r="BH179" s="113">
        <v>25.486999999999998</v>
      </c>
      <c r="BI179" s="111">
        <f t="shared" si="55"/>
        <v>2.5625461814855317</v>
      </c>
      <c r="BJ179" s="113">
        <f>1.75+0.25</f>
        <v>2</v>
      </c>
      <c r="BK179" s="341"/>
      <c r="BL179" s="341"/>
      <c r="BM179" s="124" t="s">
        <v>764</v>
      </c>
      <c r="BN179" s="27">
        <v>1</v>
      </c>
      <c r="BO179" s="27">
        <v>9</v>
      </c>
      <c r="BP179" s="27">
        <v>1</v>
      </c>
      <c r="BQ179" s="27">
        <f t="shared" si="56"/>
        <v>9</v>
      </c>
      <c r="BR179" s="27">
        <f t="shared" si="57"/>
        <v>68</v>
      </c>
      <c r="BS179" s="27" t="s">
        <v>886</v>
      </c>
      <c r="BT179" s="27" t="s">
        <v>766</v>
      </c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</row>
    <row r="180" spans="1:83" s="125" customFormat="1" ht="30" x14ac:dyDescent="0.25">
      <c r="A180" s="278">
        <v>41835</v>
      </c>
      <c r="B180" s="278"/>
      <c r="C180" s="285" t="s">
        <v>1599</v>
      </c>
      <c r="D180" s="250" t="s">
        <v>60</v>
      </c>
      <c r="E180" s="252" t="s">
        <v>697</v>
      </c>
      <c r="F180" s="274" t="s">
        <v>1600</v>
      </c>
      <c r="G180" s="31" t="s">
        <v>1149</v>
      </c>
      <c r="H180" s="31" t="s">
        <v>1601</v>
      </c>
      <c r="I180" s="31"/>
      <c r="J180" s="31"/>
      <c r="K180" s="25"/>
      <c r="L180" s="26"/>
      <c r="M180" s="254"/>
      <c r="N180" s="254"/>
      <c r="O180" s="254"/>
      <c r="P180" s="254"/>
      <c r="Q180" s="254"/>
      <c r="R180" s="254"/>
      <c r="S180" s="254"/>
      <c r="T180" s="254"/>
      <c r="U180" s="25" t="s">
        <v>1602</v>
      </c>
      <c r="V180" s="33"/>
      <c r="W180" s="25"/>
      <c r="X180" s="33"/>
      <c r="Y180" s="25"/>
      <c r="Z180" s="33"/>
      <c r="AA180" s="25"/>
      <c r="AB180" s="214"/>
      <c r="AC180" s="31"/>
      <c r="AD180" s="31"/>
      <c r="AE180" s="31"/>
      <c r="AF180" s="31"/>
      <c r="AG180" s="31"/>
      <c r="AH180" s="31"/>
      <c r="AI180" s="31"/>
      <c r="AJ180" s="31"/>
      <c r="AK180" s="262"/>
      <c r="AL180" s="31"/>
      <c r="AM180" s="31"/>
      <c r="AN180" s="31"/>
      <c r="AO180" s="31"/>
      <c r="AP180" s="31"/>
      <c r="AQ180" s="25" t="s">
        <v>1603</v>
      </c>
      <c r="AR180" s="32">
        <v>26.31</v>
      </c>
      <c r="AS180" s="282" t="s">
        <v>1604</v>
      </c>
      <c r="AT180" s="282" t="s">
        <v>1605</v>
      </c>
      <c r="AU180" s="282"/>
      <c r="AV180" s="282"/>
      <c r="AW180" s="282"/>
      <c r="AX180" s="282"/>
      <c r="AY180" s="282"/>
      <c r="AZ180" s="282"/>
      <c r="BA180" s="112">
        <v>3.4224999999999999</v>
      </c>
      <c r="BB180" s="112">
        <v>3.4224999999999999</v>
      </c>
      <c r="BC180" s="112">
        <v>5.9074999999999998</v>
      </c>
      <c r="BD180" s="111">
        <f t="shared" ref="BD180" si="58">(BC180*BB180*BA180)/1728</f>
        <v>4.0044871627242476E-2</v>
      </c>
      <c r="BE180" s="112">
        <v>0.95</v>
      </c>
      <c r="BF180" s="113">
        <v>13.055999999999999</v>
      </c>
      <c r="BG180" s="113">
        <v>9.9309999999999992</v>
      </c>
      <c r="BH180" s="113">
        <v>5.7995000000000001</v>
      </c>
      <c r="BI180" s="111">
        <f t="shared" si="55"/>
        <v>0.43516097177777774</v>
      </c>
      <c r="BJ180" s="113">
        <f>BN180*BE180+0.25</f>
        <v>11.649999999999999</v>
      </c>
      <c r="BK180" s="341"/>
      <c r="BL180" s="341"/>
      <c r="BM180" s="124" t="s">
        <v>764</v>
      </c>
      <c r="BN180" s="27">
        <v>12</v>
      </c>
      <c r="BO180" s="27">
        <v>14</v>
      </c>
      <c r="BP180" s="27">
        <v>7</v>
      </c>
      <c r="BQ180" s="27">
        <f t="shared" si="56"/>
        <v>1176</v>
      </c>
      <c r="BR180" s="27">
        <f t="shared" si="57"/>
        <v>1191.6999999999998</v>
      </c>
      <c r="BS180" s="27" t="s">
        <v>886</v>
      </c>
      <c r="BT180" s="27" t="s">
        <v>766</v>
      </c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</row>
    <row r="181" spans="1:83" s="125" customFormat="1" ht="30" x14ac:dyDescent="0.25">
      <c r="A181" s="278">
        <v>41815</v>
      </c>
      <c r="B181" s="278"/>
      <c r="C181" s="31" t="s">
        <v>1606</v>
      </c>
      <c r="D181" s="250" t="s">
        <v>60</v>
      </c>
      <c r="E181" s="286" t="s">
        <v>1607</v>
      </c>
      <c r="F181" s="50" t="s">
        <v>1608</v>
      </c>
      <c r="G181" s="31" t="s">
        <v>1609</v>
      </c>
      <c r="H181" s="31" t="s">
        <v>1610</v>
      </c>
      <c r="I181" s="31"/>
      <c r="J181" s="31"/>
      <c r="K181" s="25"/>
      <c r="L181" s="26"/>
      <c r="M181" s="275"/>
      <c r="N181" s="275"/>
      <c r="O181" s="275"/>
      <c r="P181" s="275"/>
      <c r="Q181" s="275"/>
      <c r="R181" s="275"/>
      <c r="S181" s="275"/>
      <c r="T181" s="275"/>
      <c r="U181" s="25" t="s">
        <v>1611</v>
      </c>
      <c r="V181" s="33"/>
      <c r="W181" s="25">
        <v>85435</v>
      </c>
      <c r="X181" s="33"/>
      <c r="Y181" s="25" t="s">
        <v>1612</v>
      </c>
      <c r="Z181" s="33"/>
      <c r="AA181" s="25"/>
      <c r="AB181" s="25" t="s">
        <v>1613</v>
      </c>
      <c r="AC181" s="31" t="s">
        <v>1614</v>
      </c>
      <c r="AD181" s="31"/>
      <c r="AE181" s="31"/>
      <c r="AF181" s="31"/>
      <c r="AG181" s="31"/>
      <c r="AH181" s="31"/>
      <c r="AI181" s="31"/>
      <c r="AJ181" s="31"/>
      <c r="AK181" s="262">
        <v>1435</v>
      </c>
      <c r="AL181" s="31"/>
      <c r="AM181" s="31"/>
      <c r="AN181" s="31"/>
      <c r="AO181" s="31"/>
      <c r="AP181" s="31"/>
      <c r="AQ181" s="25" t="s">
        <v>1615</v>
      </c>
      <c r="AR181" s="32">
        <v>26.68</v>
      </c>
      <c r="AS181" s="224" t="s">
        <v>1616</v>
      </c>
      <c r="AT181" s="224" t="s">
        <v>1617</v>
      </c>
      <c r="AU181" s="224"/>
      <c r="AV181" s="224"/>
      <c r="AW181" s="224"/>
      <c r="AX181" s="224"/>
      <c r="AY181" s="224"/>
      <c r="AZ181" s="224"/>
      <c r="BA181" s="189">
        <v>3.4224999999999999</v>
      </c>
      <c r="BB181" s="189">
        <v>3.423</v>
      </c>
      <c r="BC181" s="189">
        <v>5.9074999999999998</v>
      </c>
      <c r="BD181" s="51">
        <f>(BC181*BB181*BA181)/1728</f>
        <v>4.0050721864149305E-2</v>
      </c>
      <c r="BE181" s="189">
        <v>0.9</v>
      </c>
      <c r="BF181" s="189">
        <v>12.875</v>
      </c>
      <c r="BG181" s="189">
        <v>9.75</v>
      </c>
      <c r="BH181" s="189">
        <v>5.4375</v>
      </c>
      <c r="BI181" s="51">
        <f t="shared" si="55"/>
        <v>0.39500935872395831</v>
      </c>
      <c r="BJ181" s="189">
        <f>BE181*BN181+0.25</f>
        <v>11.05</v>
      </c>
      <c r="BK181" s="344"/>
      <c r="BL181" s="344"/>
      <c r="BM181" s="287" t="s">
        <v>764</v>
      </c>
      <c r="BN181" s="192">
        <v>12</v>
      </c>
      <c r="BO181" s="192">
        <v>14</v>
      </c>
      <c r="BP181" s="192">
        <v>6</v>
      </c>
      <c r="BQ181" s="192">
        <f t="shared" si="56"/>
        <v>1008</v>
      </c>
      <c r="BR181" s="192">
        <f t="shared" si="57"/>
        <v>978.2</v>
      </c>
      <c r="BS181" s="288" t="s">
        <v>886</v>
      </c>
      <c r="BT181" s="192" t="s">
        <v>766</v>
      </c>
      <c r="BU181" s="276"/>
      <c r="BV181" s="276"/>
      <c r="BW181" s="276"/>
      <c r="BX181" s="14"/>
      <c r="BY181" s="14"/>
      <c r="BZ181" s="14"/>
      <c r="CA181" s="14"/>
      <c r="CB181" s="14"/>
      <c r="CC181" s="14"/>
      <c r="CD181" s="14"/>
      <c r="CE181" s="14"/>
    </row>
    <row r="182" spans="1:83" s="125" customFormat="1" ht="30" x14ac:dyDescent="0.25">
      <c r="A182" s="278">
        <v>41815</v>
      </c>
      <c r="B182" s="278"/>
      <c r="C182" s="208" t="s">
        <v>1618</v>
      </c>
      <c r="D182" s="250" t="s">
        <v>60</v>
      </c>
      <c r="E182" s="286" t="s">
        <v>1607</v>
      </c>
      <c r="F182" s="50" t="s">
        <v>1619</v>
      </c>
      <c r="G182" s="31" t="s">
        <v>856</v>
      </c>
      <c r="H182" s="31" t="s">
        <v>1620</v>
      </c>
      <c r="I182" s="31"/>
      <c r="J182" s="31"/>
      <c r="K182" s="25"/>
      <c r="L182" s="26"/>
      <c r="M182" s="275"/>
      <c r="N182" s="275"/>
      <c r="O182" s="275"/>
      <c r="P182" s="275"/>
      <c r="Q182" s="275"/>
      <c r="R182" s="275"/>
      <c r="S182" s="275"/>
      <c r="T182" s="275"/>
      <c r="U182" s="25" t="s">
        <v>1621</v>
      </c>
      <c r="V182" s="33"/>
      <c r="W182" s="25"/>
      <c r="X182" s="33"/>
      <c r="Y182" s="25" t="s">
        <v>1622</v>
      </c>
      <c r="Z182" s="33"/>
      <c r="AA182" s="25"/>
      <c r="AB182" s="25"/>
      <c r="AC182" s="31"/>
      <c r="AD182" s="31"/>
      <c r="AE182" s="31"/>
      <c r="AF182" s="31"/>
      <c r="AG182" s="31"/>
      <c r="AH182" s="31"/>
      <c r="AI182" s="31"/>
      <c r="AJ182" s="31"/>
      <c r="AK182" s="262"/>
      <c r="AL182" s="31"/>
      <c r="AM182" s="31"/>
      <c r="AN182" s="31"/>
      <c r="AO182" s="31"/>
      <c r="AP182" s="31"/>
      <c r="AQ182" s="25">
        <v>57163</v>
      </c>
      <c r="AR182" s="262">
        <v>113.17</v>
      </c>
      <c r="AS182" s="224" t="s">
        <v>1623</v>
      </c>
      <c r="AT182" s="224" t="s">
        <v>1624</v>
      </c>
      <c r="AU182" s="224"/>
      <c r="AV182" s="224"/>
      <c r="AW182" s="224"/>
      <c r="AX182" s="224"/>
      <c r="AY182" s="224"/>
      <c r="AZ182" s="224"/>
      <c r="BA182" s="189">
        <v>5.0270000000000001</v>
      </c>
      <c r="BB182" s="189">
        <v>5.0629999999999997</v>
      </c>
      <c r="BC182" s="189">
        <v>14.5</v>
      </c>
      <c r="BD182" s="51">
        <f t="shared" ref="BD182" si="59">(BC182*BB182*BA182)/1728</f>
        <v>0.21357040769675925</v>
      </c>
      <c r="BE182" s="189">
        <v>5.2</v>
      </c>
      <c r="BF182" s="189">
        <v>16.493500000000001</v>
      </c>
      <c r="BG182" s="189">
        <v>11.118499999999999</v>
      </c>
      <c r="BH182" s="189">
        <v>15.612</v>
      </c>
      <c r="BI182" s="51">
        <f t="shared" si="55"/>
        <v>1.6568142823246528</v>
      </c>
      <c r="BJ182" s="189">
        <f>BN182*BE182+0.25</f>
        <v>31.450000000000003</v>
      </c>
      <c r="BK182" s="344"/>
      <c r="BL182" s="344"/>
      <c r="BM182" s="287" t="s">
        <v>764</v>
      </c>
      <c r="BN182" s="192">
        <v>6</v>
      </c>
      <c r="BO182" s="192">
        <v>9</v>
      </c>
      <c r="BP182" s="192">
        <v>2</v>
      </c>
      <c r="BQ182" s="192">
        <f t="shared" si="56"/>
        <v>108</v>
      </c>
      <c r="BR182" s="192">
        <f t="shared" si="57"/>
        <v>616.1</v>
      </c>
      <c r="BS182" s="192" t="s">
        <v>886</v>
      </c>
      <c r="BT182" s="192" t="s">
        <v>766</v>
      </c>
      <c r="BU182" s="276"/>
      <c r="BV182" s="276"/>
      <c r="BW182" s="276"/>
      <c r="BX182" s="14"/>
      <c r="BY182" s="14"/>
      <c r="BZ182" s="14"/>
      <c r="CA182" s="14"/>
      <c r="CB182" s="14"/>
      <c r="CC182" s="14"/>
      <c r="CD182" s="14"/>
      <c r="CE182" s="14"/>
    </row>
    <row r="183" spans="1:83" s="125" customFormat="1" x14ac:dyDescent="0.25">
      <c r="A183" s="278">
        <v>41815</v>
      </c>
      <c r="B183" s="278"/>
      <c r="C183" s="208" t="s">
        <v>1625</v>
      </c>
      <c r="D183" s="250" t="s">
        <v>60</v>
      </c>
      <c r="E183" s="208" t="s">
        <v>1116</v>
      </c>
      <c r="F183" s="50" t="s">
        <v>1626</v>
      </c>
      <c r="G183" s="31" t="s">
        <v>759</v>
      </c>
      <c r="H183" s="31">
        <v>4771302</v>
      </c>
      <c r="I183" s="31"/>
      <c r="J183" s="31"/>
      <c r="K183" s="25"/>
      <c r="L183" s="26"/>
      <c r="M183" s="275"/>
      <c r="N183" s="275"/>
      <c r="O183" s="275"/>
      <c r="P183" s="275"/>
      <c r="Q183" s="275"/>
      <c r="R183" s="275"/>
      <c r="S183" s="275"/>
      <c r="T183" s="275"/>
      <c r="U183" s="33" t="s">
        <v>1627</v>
      </c>
      <c r="V183" s="33"/>
      <c r="W183" s="25"/>
      <c r="X183" s="33"/>
      <c r="Y183" s="25"/>
      <c r="Z183" s="33"/>
      <c r="AA183" s="25"/>
      <c r="AB183" s="214"/>
      <c r="AC183" s="31"/>
      <c r="AD183" s="31"/>
      <c r="AE183" s="31"/>
      <c r="AF183" s="31"/>
      <c r="AG183" s="31"/>
      <c r="AH183" s="31"/>
      <c r="AI183" s="31"/>
      <c r="AJ183" s="31"/>
      <c r="AK183" s="262"/>
      <c r="AL183" s="31"/>
      <c r="AM183" s="31"/>
      <c r="AN183" s="31"/>
      <c r="AO183" s="31"/>
      <c r="AP183" s="31"/>
      <c r="AQ183" s="31">
        <v>33683</v>
      </c>
      <c r="AR183" s="32">
        <v>75.989999999999995</v>
      </c>
      <c r="AS183" s="224" t="s">
        <v>1628</v>
      </c>
      <c r="AT183" s="224" t="s">
        <v>1629</v>
      </c>
      <c r="AU183" s="224"/>
      <c r="AV183" s="224"/>
      <c r="AW183" s="224"/>
      <c r="AX183" s="224"/>
      <c r="AY183" s="224"/>
      <c r="AZ183" s="224"/>
      <c r="BA183" s="189">
        <v>4.6875</v>
      </c>
      <c r="BB183" s="189">
        <v>4.6875</v>
      </c>
      <c r="BC183" s="189">
        <v>9.5</v>
      </c>
      <c r="BD183" s="51">
        <f>(BC183*BB183*BA183)/1728</f>
        <v>0.12079874674479167</v>
      </c>
      <c r="BE183" s="189">
        <f>2.92+0.1</f>
        <v>3.02</v>
      </c>
      <c r="BF183" s="189">
        <v>14.805999999999999</v>
      </c>
      <c r="BG183" s="189">
        <v>10.055999999999999</v>
      </c>
      <c r="BH183" s="189">
        <v>10.362</v>
      </c>
      <c r="BI183" s="51">
        <f t="shared" si="55"/>
        <v>0.89281783983333318</v>
      </c>
      <c r="BJ183" s="189">
        <f>BE183*BN183+0.25</f>
        <v>18.37</v>
      </c>
      <c r="BK183" s="344"/>
      <c r="BL183" s="344"/>
      <c r="BM183" s="287"/>
      <c r="BN183" s="192">
        <v>6</v>
      </c>
      <c r="BO183" s="192">
        <v>12</v>
      </c>
      <c r="BP183" s="192">
        <v>4</v>
      </c>
      <c r="BQ183" s="192">
        <f t="shared" si="56"/>
        <v>288</v>
      </c>
      <c r="BR183" s="192">
        <f t="shared" si="57"/>
        <v>931.76</v>
      </c>
      <c r="BS183" s="288" t="s">
        <v>769</v>
      </c>
      <c r="BT183" s="192" t="s">
        <v>766</v>
      </c>
      <c r="BU183" s="276"/>
      <c r="BV183" s="276"/>
      <c r="BW183" s="276"/>
      <c r="BX183" s="14"/>
      <c r="BY183" s="14"/>
      <c r="BZ183" s="14"/>
      <c r="CA183" s="14"/>
      <c r="CB183" s="14"/>
      <c r="CC183" s="14"/>
      <c r="CD183" s="14"/>
      <c r="CE183" s="14"/>
    </row>
    <row r="184" spans="1:83" s="125" customFormat="1" ht="30" x14ac:dyDescent="0.25">
      <c r="A184" s="278">
        <v>41815</v>
      </c>
      <c r="B184" s="278"/>
      <c r="C184" s="208" t="s">
        <v>1630</v>
      </c>
      <c r="D184" s="250" t="s">
        <v>60</v>
      </c>
      <c r="E184" s="208" t="s">
        <v>1116</v>
      </c>
      <c r="F184" s="208" t="s">
        <v>1631</v>
      </c>
      <c r="G184" s="31" t="s">
        <v>1632</v>
      </c>
      <c r="H184" s="31">
        <v>87803182</v>
      </c>
      <c r="I184" s="31" t="s">
        <v>1524</v>
      </c>
      <c r="J184" s="31">
        <v>2830359</v>
      </c>
      <c r="K184" s="25" t="s">
        <v>786</v>
      </c>
      <c r="L184" s="26">
        <v>87803180</v>
      </c>
      <c r="M184" s="275"/>
      <c r="N184" s="275"/>
      <c r="O184" s="275"/>
      <c r="P184" s="275"/>
      <c r="Q184" s="275"/>
      <c r="R184" s="275"/>
      <c r="S184" s="275"/>
      <c r="T184" s="275"/>
      <c r="U184" s="25" t="s">
        <v>1633</v>
      </c>
      <c r="V184" s="33"/>
      <c r="W184" s="25"/>
      <c r="X184" s="33"/>
      <c r="Y184" s="25"/>
      <c r="Z184" s="33"/>
      <c r="AA184" s="25" t="s">
        <v>1634</v>
      </c>
      <c r="AB184" s="214"/>
      <c r="AC184" s="31"/>
      <c r="AD184" s="31"/>
      <c r="AE184" s="31"/>
      <c r="AF184" s="31"/>
      <c r="AG184" s="31"/>
      <c r="AH184" s="31"/>
      <c r="AI184" s="31"/>
      <c r="AJ184" s="31"/>
      <c r="AK184" s="262"/>
      <c r="AL184" s="31"/>
      <c r="AM184" s="31"/>
      <c r="AN184" s="31"/>
      <c r="AO184" s="31"/>
      <c r="AP184" s="31"/>
      <c r="AQ184" s="31"/>
      <c r="AR184" s="32">
        <v>22.5</v>
      </c>
      <c r="AS184" s="289" t="s">
        <v>1635</v>
      </c>
      <c r="AT184" s="289" t="s">
        <v>1636</v>
      </c>
      <c r="AU184" s="289"/>
      <c r="AV184" s="289"/>
      <c r="AW184" s="289"/>
      <c r="AX184" s="289"/>
      <c r="AY184" s="289"/>
      <c r="AZ184" s="289"/>
      <c r="BA184" s="189">
        <v>3.875</v>
      </c>
      <c r="BB184" s="189">
        <v>3.875</v>
      </c>
      <c r="BC184" s="189">
        <v>7.25</v>
      </c>
      <c r="BD184" s="51">
        <f>(BC184*BB184*BA184)/1728</f>
        <v>6.2999584056712965E-2</v>
      </c>
      <c r="BE184" s="189">
        <v>1.6</v>
      </c>
      <c r="BF184" s="189">
        <v>15.805999999999999</v>
      </c>
      <c r="BG184" s="189">
        <v>11.805999999999999</v>
      </c>
      <c r="BH184" s="189">
        <v>8.1120000000000001</v>
      </c>
      <c r="BI184" s="51">
        <f t="shared" si="55"/>
        <v>0.87600979122222211</v>
      </c>
      <c r="BJ184" s="189">
        <f>BE184*BN184+0.25</f>
        <v>19.450000000000003</v>
      </c>
      <c r="BK184" s="344"/>
      <c r="BL184" s="344"/>
      <c r="BM184" s="287" t="s">
        <v>764</v>
      </c>
      <c r="BN184" s="192">
        <v>12</v>
      </c>
      <c r="BO184" s="192">
        <v>10</v>
      </c>
      <c r="BP184" s="192">
        <v>5</v>
      </c>
      <c r="BQ184" s="192">
        <f t="shared" si="56"/>
        <v>600</v>
      </c>
      <c r="BR184" s="192">
        <f t="shared" si="57"/>
        <v>1022.5000000000001</v>
      </c>
      <c r="BS184" s="192" t="s">
        <v>886</v>
      </c>
      <c r="BT184" s="192" t="s">
        <v>766</v>
      </c>
      <c r="BU184" s="276"/>
      <c r="BV184" s="276"/>
      <c r="BW184" s="276"/>
      <c r="BX184" s="14"/>
      <c r="BY184" s="14"/>
      <c r="BZ184" s="14"/>
      <c r="CA184" s="14"/>
      <c r="CB184" s="14"/>
      <c r="CC184" s="14"/>
      <c r="CD184" s="14"/>
      <c r="CE184" s="14"/>
    </row>
    <row r="185" spans="1:83" s="125" customFormat="1" ht="30" x14ac:dyDescent="0.25">
      <c r="A185" s="278">
        <v>41815</v>
      </c>
      <c r="B185" s="278"/>
      <c r="C185" s="290" t="s">
        <v>1637</v>
      </c>
      <c r="D185" s="250" t="s">
        <v>60</v>
      </c>
      <c r="E185" s="290" t="s">
        <v>1125</v>
      </c>
      <c r="F185" s="214" t="s">
        <v>1638</v>
      </c>
      <c r="G185" s="31" t="s">
        <v>980</v>
      </c>
      <c r="H185" s="31" t="s">
        <v>1639</v>
      </c>
      <c r="I185" s="31"/>
      <c r="J185" s="31"/>
      <c r="K185" s="25"/>
      <c r="L185" s="26"/>
      <c r="M185" s="275"/>
      <c r="N185" s="275"/>
      <c r="O185" s="275"/>
      <c r="P185" s="275"/>
      <c r="Q185" s="275"/>
      <c r="R185" s="275"/>
      <c r="S185" s="275"/>
      <c r="T185" s="275"/>
      <c r="U185" s="25" t="s">
        <v>1640</v>
      </c>
      <c r="V185" s="33"/>
      <c r="W185" s="25"/>
      <c r="X185" s="33"/>
      <c r="Y185" s="25"/>
      <c r="Z185" s="33"/>
      <c r="AA185" s="25" t="s">
        <v>1641</v>
      </c>
      <c r="AB185" s="214"/>
      <c r="AC185" s="31"/>
      <c r="AD185" s="31"/>
      <c r="AE185" s="31"/>
      <c r="AF185" s="31"/>
      <c r="AG185" s="31"/>
      <c r="AH185" s="31"/>
      <c r="AI185" s="31"/>
      <c r="AJ185" s="31"/>
      <c r="AK185" s="262"/>
      <c r="AL185" s="31"/>
      <c r="AM185" s="31"/>
      <c r="AN185" s="31"/>
      <c r="AO185" s="31"/>
      <c r="AP185" s="31"/>
      <c r="AQ185" s="25" t="s">
        <v>1642</v>
      </c>
      <c r="AR185" s="32">
        <v>47.42</v>
      </c>
      <c r="AS185" s="289" t="s">
        <v>1643</v>
      </c>
      <c r="AT185" s="289" t="s">
        <v>1644</v>
      </c>
      <c r="AU185" s="289"/>
      <c r="AV185" s="289"/>
      <c r="AW185" s="289"/>
      <c r="AX185" s="289"/>
      <c r="AY185" s="289"/>
      <c r="AZ185" s="289"/>
      <c r="BA185" s="189">
        <v>5.1875</v>
      </c>
      <c r="BB185" s="189">
        <v>5.1875</v>
      </c>
      <c r="BC185" s="189">
        <v>14.75</v>
      </c>
      <c r="BD185" s="51">
        <f>(BC185*BB185*BA185)/1728</f>
        <v>0.22970185456452547</v>
      </c>
      <c r="BE185" s="189">
        <v>4.83</v>
      </c>
      <c r="BF185" s="189">
        <v>16.493500000000001</v>
      </c>
      <c r="BG185" s="189">
        <v>11.118499999999999</v>
      </c>
      <c r="BH185" s="189">
        <v>15.612</v>
      </c>
      <c r="BI185" s="51">
        <f t="shared" si="55"/>
        <v>1.6568142823246528</v>
      </c>
      <c r="BJ185" s="189">
        <f>BE185*BN185+0.4</f>
        <v>29.38</v>
      </c>
      <c r="BK185" s="344"/>
      <c r="BL185" s="344"/>
      <c r="BM185" s="287" t="s">
        <v>764</v>
      </c>
      <c r="BN185" s="192">
        <v>6</v>
      </c>
      <c r="BO185" s="192">
        <v>9</v>
      </c>
      <c r="BP185" s="192">
        <v>2</v>
      </c>
      <c r="BQ185" s="192">
        <f t="shared" si="56"/>
        <v>108</v>
      </c>
      <c r="BR185" s="192">
        <f t="shared" si="57"/>
        <v>578.84</v>
      </c>
      <c r="BS185" s="192" t="s">
        <v>886</v>
      </c>
      <c r="BT185" s="192" t="s">
        <v>766</v>
      </c>
      <c r="BU185" s="276"/>
      <c r="BV185" s="276"/>
      <c r="BW185" s="276"/>
      <c r="BX185" s="14"/>
      <c r="BY185" s="14"/>
      <c r="BZ185" s="14"/>
      <c r="CA185" s="14"/>
      <c r="CB185" s="14"/>
      <c r="CC185" s="14"/>
      <c r="CD185" s="14"/>
      <c r="CE185" s="14"/>
    </row>
    <row r="186" spans="1:83" s="125" customFormat="1" x14ac:dyDescent="0.25">
      <c r="A186" s="278">
        <v>41815</v>
      </c>
      <c r="B186" s="278"/>
      <c r="C186" s="208" t="s">
        <v>1645</v>
      </c>
      <c r="D186" s="250" t="s">
        <v>60</v>
      </c>
      <c r="E186" s="208" t="s">
        <v>1116</v>
      </c>
      <c r="F186" s="32" t="s">
        <v>1646</v>
      </c>
      <c r="G186" s="31" t="s">
        <v>1524</v>
      </c>
      <c r="H186" s="31">
        <v>3685306</v>
      </c>
      <c r="I186" s="31"/>
      <c r="J186" s="31"/>
      <c r="K186" s="25"/>
      <c r="L186" s="26"/>
      <c r="M186" s="275"/>
      <c r="N186" s="275"/>
      <c r="O186" s="275"/>
      <c r="P186" s="275"/>
      <c r="Q186" s="275"/>
      <c r="R186" s="275"/>
      <c r="S186" s="275"/>
      <c r="T186" s="275"/>
      <c r="U186" s="25" t="s">
        <v>1647</v>
      </c>
      <c r="V186" s="33"/>
      <c r="W186" s="25"/>
      <c r="X186" s="33"/>
      <c r="Y186" s="25" t="s">
        <v>1648</v>
      </c>
      <c r="Z186" s="33"/>
      <c r="AA186" s="25" t="s">
        <v>1649</v>
      </c>
      <c r="AB186" s="214"/>
      <c r="AC186" s="31"/>
      <c r="AD186" s="31"/>
      <c r="AE186" s="31"/>
      <c r="AF186" s="31"/>
      <c r="AG186" s="31"/>
      <c r="AH186" s="31"/>
      <c r="AI186" s="31"/>
      <c r="AJ186" s="31"/>
      <c r="AK186" s="262"/>
      <c r="AL186" s="31"/>
      <c r="AM186" s="31"/>
      <c r="AN186" s="31"/>
      <c r="AO186" s="31"/>
      <c r="AP186" s="31"/>
      <c r="AQ186" s="25" t="s">
        <v>1650</v>
      </c>
      <c r="AR186" s="32">
        <v>67.849999999999994</v>
      </c>
      <c r="AS186" s="224" t="s">
        <v>1651</v>
      </c>
      <c r="AT186" s="224" t="s">
        <v>1652</v>
      </c>
      <c r="AU186" s="224"/>
      <c r="AV186" s="224"/>
      <c r="AW186" s="224"/>
      <c r="AX186" s="224"/>
      <c r="AY186" s="224"/>
      <c r="AZ186" s="224"/>
      <c r="BA186" s="400" t="s">
        <v>1505</v>
      </c>
      <c r="BB186" s="400"/>
      <c r="BC186" s="400"/>
      <c r="BD186" s="400"/>
      <c r="BE186" s="400"/>
      <c r="BF186" s="189">
        <v>15.055999999999999</v>
      </c>
      <c r="BG186" s="189">
        <v>10.305999999999999</v>
      </c>
      <c r="BH186" s="189">
        <v>13.362</v>
      </c>
      <c r="BI186" s="51">
        <f t="shared" si="55"/>
        <v>1.199851430111111</v>
      </c>
      <c r="BJ186" s="189">
        <v>32.247999999999998</v>
      </c>
      <c r="BK186" s="344"/>
      <c r="BL186" s="344"/>
      <c r="BM186" s="262" t="s">
        <v>764</v>
      </c>
      <c r="BN186" s="192">
        <v>6</v>
      </c>
      <c r="BO186" s="192">
        <v>10</v>
      </c>
      <c r="BP186" s="192">
        <v>3</v>
      </c>
      <c r="BQ186" s="192">
        <f t="shared" si="56"/>
        <v>180</v>
      </c>
      <c r="BR186" s="192">
        <f>(BI186*BO186*BP186)+50</f>
        <v>85.99554290333333</v>
      </c>
      <c r="BS186" s="192" t="s">
        <v>886</v>
      </c>
      <c r="BT186" s="192" t="s">
        <v>766</v>
      </c>
      <c r="BU186" s="276"/>
      <c r="BV186" s="276"/>
      <c r="BW186" s="276"/>
      <c r="BX186" s="14"/>
      <c r="BY186" s="14"/>
      <c r="BZ186" s="14"/>
      <c r="CA186" s="14"/>
      <c r="CB186" s="14"/>
      <c r="CC186" s="14"/>
      <c r="CD186" s="14"/>
      <c r="CE186" s="14"/>
    </row>
    <row r="187" spans="1:83" s="125" customFormat="1" ht="45" x14ac:dyDescent="0.25">
      <c r="A187" s="278">
        <v>41815</v>
      </c>
      <c r="B187" s="278"/>
      <c r="C187" s="208" t="s">
        <v>1653</v>
      </c>
      <c r="D187" s="250" t="s">
        <v>60</v>
      </c>
      <c r="E187" s="208" t="s">
        <v>1116</v>
      </c>
      <c r="F187" s="32" t="s">
        <v>1654</v>
      </c>
      <c r="G187" s="31" t="s">
        <v>1655</v>
      </c>
      <c r="H187" s="31" t="s">
        <v>1656</v>
      </c>
      <c r="I187" s="31"/>
      <c r="J187" s="31"/>
      <c r="K187" s="25"/>
      <c r="L187" s="26"/>
      <c r="M187" s="275"/>
      <c r="N187" s="275"/>
      <c r="O187" s="275"/>
      <c r="P187" s="275"/>
      <c r="Q187" s="275"/>
      <c r="R187" s="275"/>
      <c r="S187" s="275"/>
      <c r="T187" s="275"/>
      <c r="U187" s="33" t="s">
        <v>1657</v>
      </c>
      <c r="V187" s="33"/>
      <c r="W187" s="25"/>
      <c r="X187" s="33"/>
      <c r="Y187" s="25" t="s">
        <v>1658</v>
      </c>
      <c r="Z187" s="33"/>
      <c r="AA187" s="25" t="s">
        <v>1659</v>
      </c>
      <c r="AB187" s="214"/>
      <c r="AC187" s="31"/>
      <c r="AD187" s="31"/>
      <c r="AE187" s="31"/>
      <c r="AF187" s="31"/>
      <c r="AG187" s="31"/>
      <c r="AH187" s="31"/>
      <c r="AI187" s="31"/>
      <c r="AJ187" s="31"/>
      <c r="AK187" s="262"/>
      <c r="AL187" s="31"/>
      <c r="AM187" s="31"/>
      <c r="AN187" s="31"/>
      <c r="AO187" s="31"/>
      <c r="AP187" s="31"/>
      <c r="AQ187" s="31">
        <v>33822</v>
      </c>
      <c r="AR187" s="32">
        <v>62.81</v>
      </c>
      <c r="AS187" s="224" t="s">
        <v>1660</v>
      </c>
      <c r="AT187" s="224" t="s">
        <v>1661</v>
      </c>
      <c r="AU187" s="224"/>
      <c r="AV187" s="224"/>
      <c r="AW187" s="224"/>
      <c r="AX187" s="224"/>
      <c r="AY187" s="224"/>
      <c r="AZ187" s="224"/>
      <c r="BA187" s="189">
        <v>4.7859999999999996</v>
      </c>
      <c r="BB187" s="189">
        <v>4.7859999999999996</v>
      </c>
      <c r="BC187" s="189">
        <v>10.692</v>
      </c>
      <c r="BD187" s="51">
        <f t="shared" ref="BD187" si="60">(BC187*BB187*BA187)/1728</f>
        <v>0.14172961274999998</v>
      </c>
      <c r="BE187" s="189">
        <v>2.65</v>
      </c>
      <c r="BF187" s="189">
        <v>14.75</v>
      </c>
      <c r="BG187" s="189">
        <v>10</v>
      </c>
      <c r="BH187" s="189">
        <v>12.12</v>
      </c>
      <c r="BI187" s="51">
        <f t="shared" si="55"/>
        <v>1.0345486111111111</v>
      </c>
      <c r="BJ187" s="189">
        <f>BN187*BE187+0.25</f>
        <v>16.149999999999999</v>
      </c>
      <c r="BK187" s="344"/>
      <c r="BL187" s="344"/>
      <c r="BM187" s="287" t="s">
        <v>764</v>
      </c>
      <c r="BN187" s="192">
        <v>6</v>
      </c>
      <c r="BO187" s="192">
        <v>12</v>
      </c>
      <c r="BP187" s="192">
        <v>3</v>
      </c>
      <c r="BQ187" s="192">
        <f t="shared" si="56"/>
        <v>216</v>
      </c>
      <c r="BR187" s="192">
        <f t="shared" ref="BR187:BR202" si="61">(BJ187*BO187*BP187)+50</f>
        <v>631.4</v>
      </c>
      <c r="BS187" s="192" t="s">
        <v>886</v>
      </c>
      <c r="BT187" s="192" t="s">
        <v>766</v>
      </c>
      <c r="BU187" s="276"/>
      <c r="BV187" s="276"/>
      <c r="BW187" s="276"/>
      <c r="BX187" s="14"/>
      <c r="BY187" s="14"/>
      <c r="BZ187" s="14"/>
      <c r="CA187" s="14"/>
      <c r="CB187" s="14"/>
      <c r="CC187" s="14"/>
      <c r="CD187" s="14"/>
      <c r="CE187" s="14"/>
    </row>
    <row r="188" spans="1:83" s="125" customFormat="1" ht="30" x14ac:dyDescent="0.25">
      <c r="A188" s="278">
        <v>41791</v>
      </c>
      <c r="B188" s="278"/>
      <c r="C188" s="252" t="s">
        <v>1662</v>
      </c>
      <c r="D188" s="250" t="s">
        <v>60</v>
      </c>
      <c r="E188" s="291" t="s">
        <v>1663</v>
      </c>
      <c r="F188" s="252" t="s">
        <v>1664</v>
      </c>
      <c r="G188" s="261" t="s">
        <v>1149</v>
      </c>
      <c r="H188" s="261" t="s">
        <v>1665</v>
      </c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261"/>
      <c r="T188" s="261"/>
      <c r="U188" s="261"/>
      <c r="V188" s="261"/>
      <c r="W188" s="261"/>
      <c r="X188" s="261"/>
      <c r="Y188" s="261"/>
      <c r="Z188" s="261"/>
      <c r="AA188" s="261" t="s">
        <v>1666</v>
      </c>
      <c r="AB188" s="261"/>
      <c r="AC188" s="261"/>
      <c r="AD188" s="261"/>
      <c r="AE188" s="261"/>
      <c r="AF188" s="261"/>
      <c r="AG188" s="261"/>
      <c r="AH188" s="261"/>
      <c r="AI188" s="261"/>
      <c r="AJ188" s="261"/>
      <c r="AK188" s="261"/>
      <c r="AL188" s="261"/>
      <c r="AM188" s="261"/>
      <c r="AN188" s="261"/>
      <c r="AO188" s="261"/>
      <c r="AP188" s="261"/>
      <c r="AQ188" s="261" t="s">
        <v>1667</v>
      </c>
      <c r="AR188" s="32">
        <v>53.49</v>
      </c>
      <c r="AS188" s="271" t="s">
        <v>1668</v>
      </c>
      <c r="AT188" s="271" t="s">
        <v>1669</v>
      </c>
      <c r="AU188" s="271"/>
      <c r="AV188" s="271"/>
      <c r="AW188" s="271"/>
      <c r="AX188" s="271"/>
      <c r="AY188" s="271"/>
      <c r="AZ188" s="271"/>
      <c r="BA188" s="397" t="s">
        <v>1505</v>
      </c>
      <c r="BB188" s="397"/>
      <c r="BC188" s="397"/>
      <c r="BD188" s="397"/>
      <c r="BE188" s="397"/>
      <c r="BF188" s="113">
        <v>15.055999999999999</v>
      </c>
      <c r="BG188" s="113">
        <v>10.305999999999999</v>
      </c>
      <c r="BH188" s="113">
        <v>13.362</v>
      </c>
      <c r="BI188" s="111">
        <f t="shared" si="55"/>
        <v>1.199851430111111</v>
      </c>
      <c r="BJ188" s="113">
        <f>2.4*6+0.4</f>
        <v>14.799999999999999</v>
      </c>
      <c r="BK188" s="341"/>
      <c r="BL188" s="341"/>
      <c r="BM188" s="124"/>
      <c r="BN188" s="27">
        <v>6</v>
      </c>
      <c r="BO188" s="27">
        <v>10</v>
      </c>
      <c r="BP188" s="27">
        <v>3</v>
      </c>
      <c r="BQ188" s="27">
        <f t="shared" si="56"/>
        <v>180</v>
      </c>
      <c r="BR188" s="27">
        <f t="shared" si="61"/>
        <v>494</v>
      </c>
      <c r="BS188" s="27" t="s">
        <v>886</v>
      </c>
      <c r="BT188" s="27" t="s">
        <v>766</v>
      </c>
      <c r="BU188" s="276"/>
      <c r="BV188" s="276"/>
      <c r="BW188" s="276"/>
      <c r="BX188" s="14"/>
      <c r="BY188" s="14"/>
      <c r="BZ188" s="14"/>
      <c r="CA188" s="14"/>
      <c r="CB188" s="14"/>
      <c r="CC188" s="14"/>
      <c r="CD188" s="14"/>
      <c r="CE188" s="14"/>
    </row>
    <row r="189" spans="1:83" s="125" customFormat="1" x14ac:dyDescent="0.25">
      <c r="A189" s="278">
        <v>41791</v>
      </c>
      <c r="B189" s="278"/>
      <c r="C189" s="252" t="s">
        <v>1670</v>
      </c>
      <c r="D189" s="250" t="s">
        <v>60</v>
      </c>
      <c r="E189" s="252" t="s">
        <v>1068</v>
      </c>
      <c r="F189" s="274" t="s">
        <v>1671</v>
      </c>
      <c r="G189" s="261" t="s">
        <v>1118</v>
      </c>
      <c r="H189" s="261" t="s">
        <v>1672</v>
      </c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261"/>
      <c r="T189" s="261"/>
      <c r="U189" s="261" t="s">
        <v>1673</v>
      </c>
      <c r="V189" s="261"/>
      <c r="W189" s="261"/>
      <c r="X189" s="261"/>
      <c r="Y189" s="261" t="s">
        <v>1674</v>
      </c>
      <c r="Z189" s="261"/>
      <c r="AA189" s="261" t="s">
        <v>1675</v>
      </c>
      <c r="AB189" s="261" t="s">
        <v>1676</v>
      </c>
      <c r="AC189" s="261"/>
      <c r="AD189" s="261"/>
      <c r="AE189" s="261"/>
      <c r="AF189" s="261"/>
      <c r="AG189" s="261"/>
      <c r="AH189" s="261"/>
      <c r="AI189" s="261"/>
      <c r="AJ189" s="261"/>
      <c r="AK189" s="261"/>
      <c r="AL189" s="261"/>
      <c r="AM189" s="261"/>
      <c r="AN189" s="261"/>
      <c r="AO189" s="261"/>
      <c r="AP189" s="261"/>
      <c r="AQ189" s="261"/>
      <c r="AR189" s="32">
        <v>33.840000000000003</v>
      </c>
      <c r="AS189" s="271" t="s">
        <v>1677</v>
      </c>
      <c r="AT189" s="271" t="s">
        <v>1678</v>
      </c>
      <c r="AU189" s="271"/>
      <c r="AV189" s="271"/>
      <c r="AW189" s="271"/>
      <c r="AX189" s="271"/>
      <c r="AY189" s="271"/>
      <c r="AZ189" s="271"/>
      <c r="BA189" s="396" t="s">
        <v>985</v>
      </c>
      <c r="BB189" s="396"/>
      <c r="BC189" s="396"/>
      <c r="BD189" s="396"/>
      <c r="BE189" s="396"/>
      <c r="BF189" s="113">
        <v>6.806</v>
      </c>
      <c r="BG189" s="113">
        <v>6.806</v>
      </c>
      <c r="BH189" s="113">
        <v>6.1120000000000001</v>
      </c>
      <c r="BI189" s="111">
        <f t="shared" si="55"/>
        <v>0.16384134214814813</v>
      </c>
      <c r="BJ189" s="113">
        <f>1.5+0.25</f>
        <v>1.75</v>
      </c>
      <c r="BK189" s="341"/>
      <c r="BL189" s="341"/>
      <c r="BM189" s="124"/>
      <c r="BN189" s="27">
        <v>1</v>
      </c>
      <c r="BO189" s="27">
        <v>35</v>
      </c>
      <c r="BP189" s="27">
        <v>7</v>
      </c>
      <c r="BQ189" s="27">
        <f t="shared" si="56"/>
        <v>245</v>
      </c>
      <c r="BR189" s="27">
        <f t="shared" si="61"/>
        <v>478.75</v>
      </c>
      <c r="BS189" s="27" t="s">
        <v>886</v>
      </c>
      <c r="BT189" s="27" t="s">
        <v>766</v>
      </c>
      <c r="BU189" s="276"/>
      <c r="BV189" s="276"/>
      <c r="BW189" s="276"/>
      <c r="BX189" s="14"/>
      <c r="BY189" s="14"/>
      <c r="BZ189" s="14"/>
      <c r="CA189" s="14"/>
      <c r="CB189" s="14"/>
      <c r="CC189" s="14"/>
      <c r="CD189" s="14"/>
      <c r="CE189" s="14"/>
    </row>
    <row r="190" spans="1:83" s="125" customFormat="1" x14ac:dyDescent="0.25">
      <c r="A190" s="278">
        <v>41791</v>
      </c>
      <c r="B190" s="278"/>
      <c r="C190" s="252" t="s">
        <v>1679</v>
      </c>
      <c r="D190" s="250" t="s">
        <v>60</v>
      </c>
      <c r="E190" s="252" t="s">
        <v>1068</v>
      </c>
      <c r="F190" s="274" t="s">
        <v>1680</v>
      </c>
      <c r="G190" s="261" t="s">
        <v>737</v>
      </c>
      <c r="H190" s="261">
        <v>9179832</v>
      </c>
      <c r="I190" s="261" t="s">
        <v>738</v>
      </c>
      <c r="J190" s="261" t="s">
        <v>1681</v>
      </c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 t="s">
        <v>1682</v>
      </c>
      <c r="V190" s="261"/>
      <c r="W190" s="261"/>
      <c r="X190" s="261"/>
      <c r="Y190" s="261"/>
      <c r="Z190" s="261"/>
      <c r="AA190" s="261"/>
      <c r="AB190" s="261"/>
      <c r="AC190" s="261"/>
      <c r="AD190" s="261"/>
      <c r="AE190" s="261"/>
      <c r="AF190" s="261"/>
      <c r="AG190" s="261"/>
      <c r="AH190" s="261"/>
      <c r="AI190" s="261"/>
      <c r="AJ190" s="261"/>
      <c r="AK190" s="261"/>
      <c r="AL190" s="261"/>
      <c r="AM190" s="261"/>
      <c r="AN190" s="261"/>
      <c r="AO190" s="261"/>
      <c r="AP190" s="261"/>
      <c r="AQ190" s="261">
        <v>49832</v>
      </c>
      <c r="AR190" s="32">
        <v>102.947</v>
      </c>
      <c r="AS190" s="271" t="s">
        <v>1683</v>
      </c>
      <c r="AT190" s="271" t="s">
        <v>1684</v>
      </c>
      <c r="AU190" s="271"/>
      <c r="AV190" s="271"/>
      <c r="AW190" s="271"/>
      <c r="AX190" s="271"/>
      <c r="AY190" s="271"/>
      <c r="AZ190" s="271"/>
      <c r="BA190" s="396" t="s">
        <v>985</v>
      </c>
      <c r="BB190" s="396"/>
      <c r="BC190" s="396"/>
      <c r="BD190" s="396"/>
      <c r="BE190" s="396"/>
      <c r="BF190" s="113">
        <v>9.6809999999999992</v>
      </c>
      <c r="BG190" s="113">
        <v>9.6809999999999992</v>
      </c>
      <c r="BH190" s="113">
        <v>20.486999999999998</v>
      </c>
      <c r="BI190" s="111">
        <f t="shared" si="55"/>
        <v>1.1111560865781247</v>
      </c>
      <c r="BJ190" s="113">
        <f>3.87+0.25</f>
        <v>4.12</v>
      </c>
      <c r="BK190" s="341"/>
      <c r="BL190" s="341"/>
      <c r="BM190" s="124" t="s">
        <v>764</v>
      </c>
      <c r="BN190" s="27">
        <v>1</v>
      </c>
      <c r="BO190" s="27">
        <v>16</v>
      </c>
      <c r="BP190" s="27">
        <v>2</v>
      </c>
      <c r="BQ190" s="27">
        <f t="shared" si="56"/>
        <v>32</v>
      </c>
      <c r="BR190" s="27">
        <f t="shared" si="61"/>
        <v>181.84</v>
      </c>
      <c r="BS190" s="27" t="s">
        <v>886</v>
      </c>
      <c r="BT190" s="27" t="s">
        <v>766</v>
      </c>
      <c r="BU190" s="276"/>
      <c r="BV190" s="276"/>
      <c r="BW190" s="276"/>
      <c r="BX190" s="14"/>
      <c r="BY190" s="14"/>
      <c r="BZ190" s="14"/>
      <c r="CA190" s="14"/>
      <c r="CB190" s="14"/>
      <c r="CC190" s="14"/>
      <c r="CD190" s="14"/>
      <c r="CE190" s="14"/>
    </row>
    <row r="191" spans="1:83" s="125" customFormat="1" x14ac:dyDescent="0.25">
      <c r="A191" s="278">
        <v>41791</v>
      </c>
      <c r="B191" s="278"/>
      <c r="C191" s="252" t="s">
        <v>1685</v>
      </c>
      <c r="D191" s="250" t="s">
        <v>60</v>
      </c>
      <c r="E191" s="252" t="s">
        <v>1068</v>
      </c>
      <c r="F191" s="252" t="s">
        <v>1686</v>
      </c>
      <c r="G191" s="261" t="s">
        <v>1149</v>
      </c>
      <c r="H191" s="261" t="s">
        <v>1687</v>
      </c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 t="s">
        <v>1688</v>
      </c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261"/>
      <c r="AM191" s="261"/>
      <c r="AN191" s="261"/>
      <c r="AO191" s="261"/>
      <c r="AP191" s="261"/>
      <c r="AQ191" s="261"/>
      <c r="AR191" s="32">
        <v>242.03</v>
      </c>
      <c r="AS191" s="271" t="s">
        <v>1689</v>
      </c>
      <c r="AT191" s="271" t="s">
        <v>1690</v>
      </c>
      <c r="AU191" s="271"/>
      <c r="AV191" s="271"/>
      <c r="AW191" s="271"/>
      <c r="AX191" s="271"/>
      <c r="AY191" s="271"/>
      <c r="AZ191" s="271"/>
      <c r="BA191" s="396" t="s">
        <v>985</v>
      </c>
      <c r="BB191" s="396"/>
      <c r="BC191" s="396"/>
      <c r="BD191" s="396"/>
      <c r="BE191" s="396"/>
      <c r="BF191" s="113">
        <v>10.99</v>
      </c>
      <c r="BG191" s="113">
        <v>10.25</v>
      </c>
      <c r="BH191" s="113">
        <v>8.57</v>
      </c>
      <c r="BI191" s="111">
        <f t="shared" si="55"/>
        <v>0.55867423321759258</v>
      </c>
      <c r="BJ191" s="113">
        <f>2.84+0.25</f>
        <v>3.09</v>
      </c>
      <c r="BK191" s="341"/>
      <c r="BL191" s="341"/>
      <c r="BM191" s="124"/>
      <c r="BN191" s="27">
        <v>1</v>
      </c>
      <c r="BO191" s="27">
        <v>6</v>
      </c>
      <c r="BP191" s="27">
        <v>6</v>
      </c>
      <c r="BQ191" s="27">
        <f t="shared" si="56"/>
        <v>36</v>
      </c>
      <c r="BR191" s="27">
        <f t="shared" si="61"/>
        <v>161.24</v>
      </c>
      <c r="BS191" s="27" t="s">
        <v>886</v>
      </c>
      <c r="BT191" s="27" t="s">
        <v>766</v>
      </c>
      <c r="BU191" s="276"/>
      <c r="BV191" s="276"/>
      <c r="BW191" s="276"/>
      <c r="BX191" s="14"/>
      <c r="BY191" s="14"/>
      <c r="BZ191" s="14"/>
      <c r="CA191" s="14"/>
      <c r="CB191" s="14"/>
      <c r="CC191" s="14"/>
      <c r="CD191" s="14"/>
      <c r="CE191" s="14"/>
    </row>
    <row r="192" spans="1:83" s="125" customFormat="1" x14ac:dyDescent="0.25">
      <c r="A192" s="278">
        <v>41791</v>
      </c>
      <c r="B192" s="278"/>
      <c r="C192" s="252" t="s">
        <v>1691</v>
      </c>
      <c r="D192" s="250" t="s">
        <v>60</v>
      </c>
      <c r="E192" s="252" t="s">
        <v>1068</v>
      </c>
      <c r="F192" s="252" t="s">
        <v>1692</v>
      </c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 t="s">
        <v>1693</v>
      </c>
      <c r="Z192" s="261"/>
      <c r="AA192" s="261"/>
      <c r="AB192" s="261"/>
      <c r="AC192" s="261"/>
      <c r="AD192" s="261"/>
      <c r="AE192" s="261"/>
      <c r="AF192" s="261"/>
      <c r="AG192" s="261"/>
      <c r="AH192" s="261"/>
      <c r="AI192" s="261"/>
      <c r="AJ192" s="261"/>
      <c r="AK192" s="261"/>
      <c r="AL192" s="261"/>
      <c r="AM192" s="261"/>
      <c r="AN192" s="261"/>
      <c r="AO192" s="261"/>
      <c r="AP192" s="261"/>
      <c r="AQ192" s="261"/>
      <c r="AR192" s="32">
        <v>291.88</v>
      </c>
      <c r="AS192" s="271" t="s">
        <v>1694</v>
      </c>
      <c r="AT192" s="271" t="s">
        <v>1695</v>
      </c>
      <c r="AU192" s="271"/>
      <c r="AV192" s="271"/>
      <c r="AW192" s="271"/>
      <c r="AX192" s="271"/>
      <c r="AY192" s="271"/>
      <c r="AZ192" s="271"/>
      <c r="BA192" s="396" t="s">
        <v>985</v>
      </c>
      <c r="BB192" s="396"/>
      <c r="BC192" s="396"/>
      <c r="BD192" s="396"/>
      <c r="BE192" s="396"/>
      <c r="BF192" s="113">
        <v>15</v>
      </c>
      <c r="BG192" s="113">
        <v>15</v>
      </c>
      <c r="BH192" s="113">
        <v>10.52</v>
      </c>
      <c r="BI192" s="111">
        <f t="shared" si="55"/>
        <v>1.3697916666666663</v>
      </c>
      <c r="BJ192" s="113">
        <f>5.53+0.25</f>
        <v>5.78</v>
      </c>
      <c r="BK192" s="341"/>
      <c r="BL192" s="341"/>
      <c r="BM192" s="124"/>
      <c r="BN192" s="27">
        <v>1</v>
      </c>
      <c r="BO192" s="27">
        <v>6</v>
      </c>
      <c r="BP192" s="27">
        <v>3</v>
      </c>
      <c r="BQ192" s="27">
        <f t="shared" si="56"/>
        <v>18</v>
      </c>
      <c r="BR192" s="27">
        <f t="shared" si="61"/>
        <v>154.04</v>
      </c>
      <c r="BS192" s="27" t="s">
        <v>886</v>
      </c>
      <c r="BT192" s="27" t="s">
        <v>766</v>
      </c>
      <c r="BU192" s="292"/>
      <c r="BV192" s="276"/>
      <c r="BW192" s="276"/>
      <c r="BX192" s="14"/>
      <c r="BY192" s="14"/>
      <c r="BZ192" s="14"/>
      <c r="CA192" s="14"/>
      <c r="CB192" s="14"/>
      <c r="CC192" s="14"/>
      <c r="CD192" s="14"/>
      <c r="CE192" s="14"/>
    </row>
    <row r="193" spans="1:83" s="125" customFormat="1" x14ac:dyDescent="0.25">
      <c r="A193" s="278">
        <v>41791</v>
      </c>
      <c r="B193" s="278"/>
      <c r="C193" s="250">
        <v>1152</v>
      </c>
      <c r="D193" s="250" t="s">
        <v>60</v>
      </c>
      <c r="E193" s="252" t="s">
        <v>1696</v>
      </c>
      <c r="F193" s="32" t="s">
        <v>1697</v>
      </c>
      <c r="G193" s="261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  <c r="U193" s="261"/>
      <c r="V193" s="261"/>
      <c r="W193" s="261"/>
      <c r="X193" s="261"/>
      <c r="Y193" s="261"/>
      <c r="Z193" s="261"/>
      <c r="AA193" s="261"/>
      <c r="AB193" s="261"/>
      <c r="AC193" s="261"/>
      <c r="AD193" s="261"/>
      <c r="AE193" s="261"/>
      <c r="AF193" s="261"/>
      <c r="AG193" s="261"/>
      <c r="AH193" s="261"/>
      <c r="AI193" s="261"/>
      <c r="AJ193" s="261"/>
      <c r="AK193" s="261"/>
      <c r="AL193" s="261"/>
      <c r="AM193" s="261"/>
      <c r="AN193" s="261"/>
      <c r="AO193" s="261"/>
      <c r="AP193" s="261"/>
      <c r="AQ193" s="261"/>
      <c r="AR193" s="32"/>
      <c r="AS193" s="282" t="s">
        <v>1698</v>
      </c>
      <c r="AT193" s="282" t="s">
        <v>1699</v>
      </c>
      <c r="AU193" s="282"/>
      <c r="AV193" s="282"/>
      <c r="AW193" s="282"/>
      <c r="AX193" s="282"/>
      <c r="AY193" s="282"/>
      <c r="AZ193" s="282"/>
      <c r="BA193" s="397" t="s">
        <v>1700</v>
      </c>
      <c r="BB193" s="397"/>
      <c r="BC193" s="397"/>
      <c r="BD193" s="397"/>
      <c r="BE193" s="397"/>
      <c r="BF193" s="113">
        <v>9</v>
      </c>
      <c r="BG193" s="113">
        <v>9</v>
      </c>
      <c r="BH193" s="113">
        <v>4.5</v>
      </c>
      <c r="BI193" s="111">
        <f t="shared" si="55"/>
        <v>0.2109375</v>
      </c>
      <c r="BJ193" s="113">
        <v>0.5</v>
      </c>
      <c r="BK193" s="341"/>
      <c r="BL193" s="341"/>
      <c r="BM193" s="124" t="s">
        <v>764</v>
      </c>
      <c r="BN193" s="27">
        <v>6</v>
      </c>
      <c r="BO193" s="27">
        <v>10</v>
      </c>
      <c r="BP193" s="27">
        <v>10</v>
      </c>
      <c r="BQ193" s="27">
        <f t="shared" si="56"/>
        <v>600</v>
      </c>
      <c r="BR193" s="27">
        <f t="shared" si="61"/>
        <v>100</v>
      </c>
      <c r="BS193" s="293" t="s">
        <v>886</v>
      </c>
      <c r="BT193" s="27" t="s">
        <v>766</v>
      </c>
      <c r="BU193" s="292"/>
      <c r="BV193" s="276"/>
      <c r="BW193" s="276"/>
      <c r="BX193" s="14"/>
      <c r="BY193" s="14"/>
      <c r="BZ193" s="14"/>
      <c r="CA193" s="14"/>
      <c r="CB193" s="14"/>
      <c r="CC193" s="14"/>
      <c r="CD193" s="14"/>
      <c r="CE193" s="14"/>
    </row>
    <row r="194" spans="1:83" s="125" customFormat="1" ht="75" x14ac:dyDescent="0.25">
      <c r="A194" s="278">
        <v>41791</v>
      </c>
      <c r="B194" s="278"/>
      <c r="C194" s="261" t="s">
        <v>1701</v>
      </c>
      <c r="D194" s="250" t="s">
        <v>60</v>
      </c>
      <c r="E194" s="252" t="s">
        <v>1702</v>
      </c>
      <c r="F194" s="50" t="s">
        <v>1703</v>
      </c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1"/>
      <c r="U194" s="261"/>
      <c r="V194" s="261"/>
      <c r="W194" s="261"/>
      <c r="X194" s="261"/>
      <c r="Y194" s="261"/>
      <c r="Z194" s="261"/>
      <c r="AA194" s="261"/>
      <c r="AB194" s="261"/>
      <c r="AC194" s="261"/>
      <c r="AD194" s="261"/>
      <c r="AE194" s="261"/>
      <c r="AF194" s="261"/>
      <c r="AG194" s="261"/>
      <c r="AH194" s="261"/>
      <c r="AI194" s="261"/>
      <c r="AJ194" s="261"/>
      <c r="AK194" s="261"/>
      <c r="AL194" s="261"/>
      <c r="AM194" s="261"/>
      <c r="AN194" s="261"/>
      <c r="AO194" s="261"/>
      <c r="AP194" s="261"/>
      <c r="AQ194" s="261"/>
      <c r="AR194" s="157">
        <v>35.29</v>
      </c>
      <c r="AS194" s="271" t="s">
        <v>1704</v>
      </c>
      <c r="AT194" s="271" t="s">
        <v>1705</v>
      </c>
      <c r="AU194" s="271"/>
      <c r="AV194" s="271"/>
      <c r="AW194" s="271"/>
      <c r="AX194" s="271"/>
      <c r="AY194" s="271"/>
      <c r="AZ194" s="271"/>
      <c r="BA194" s="397" t="s">
        <v>1505</v>
      </c>
      <c r="BB194" s="397"/>
      <c r="BC194" s="397"/>
      <c r="BD194" s="397"/>
      <c r="BE194" s="397"/>
      <c r="BF194" s="113">
        <v>20.625</v>
      </c>
      <c r="BG194" s="113">
        <v>14.625</v>
      </c>
      <c r="BH194" s="113">
        <v>5.9370000000000003</v>
      </c>
      <c r="BI194" s="111">
        <f t="shared" si="55"/>
        <v>1.036365966796875</v>
      </c>
      <c r="BJ194" s="113">
        <f>1.2*BN194+0.25</f>
        <v>7.4499999999999993</v>
      </c>
      <c r="BK194" s="341"/>
      <c r="BL194" s="341"/>
      <c r="BM194" s="124" t="s">
        <v>764</v>
      </c>
      <c r="BN194" s="27">
        <v>6</v>
      </c>
      <c r="BO194" s="27">
        <v>6</v>
      </c>
      <c r="BP194" s="27">
        <v>6</v>
      </c>
      <c r="BQ194" s="27">
        <f t="shared" si="56"/>
        <v>216</v>
      </c>
      <c r="BR194" s="27">
        <f t="shared" si="61"/>
        <v>318.2</v>
      </c>
      <c r="BS194" s="27" t="s">
        <v>769</v>
      </c>
      <c r="BT194" s="27" t="s">
        <v>766</v>
      </c>
      <c r="BU194" s="292"/>
      <c r="BV194" s="276"/>
      <c r="BW194" s="276"/>
      <c r="BX194" s="14"/>
      <c r="BY194" s="14"/>
      <c r="BZ194" s="14"/>
      <c r="CA194" s="14"/>
      <c r="CB194" s="14"/>
      <c r="CC194" s="14"/>
      <c r="CD194" s="14"/>
      <c r="CE194" s="14"/>
    </row>
    <row r="195" spans="1:83" s="125" customFormat="1" x14ac:dyDescent="0.25">
      <c r="A195" s="278">
        <v>41791</v>
      </c>
      <c r="B195" s="278"/>
      <c r="C195" s="252" t="s">
        <v>1706</v>
      </c>
      <c r="D195" s="250" t="s">
        <v>60</v>
      </c>
      <c r="E195" s="252" t="s">
        <v>1707</v>
      </c>
      <c r="F195" s="41" t="s">
        <v>1708</v>
      </c>
      <c r="G195" s="261" t="s">
        <v>1524</v>
      </c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261"/>
      <c r="V195" s="261"/>
      <c r="W195" s="261"/>
      <c r="X195" s="261"/>
      <c r="Y195" s="261"/>
      <c r="Z195" s="261"/>
      <c r="AA195" s="261"/>
      <c r="AB195" s="261"/>
      <c r="AC195" s="261"/>
      <c r="AD195" s="261"/>
      <c r="AE195" s="261"/>
      <c r="AF195" s="261"/>
      <c r="AG195" s="261"/>
      <c r="AH195" s="261"/>
      <c r="AI195" s="261"/>
      <c r="AJ195" s="261"/>
      <c r="AK195" s="261"/>
      <c r="AL195" s="261"/>
      <c r="AM195" s="261"/>
      <c r="AN195" s="261"/>
      <c r="AO195" s="261"/>
      <c r="AP195" s="261"/>
      <c r="AQ195" s="261"/>
      <c r="AR195" s="32">
        <v>95.66</v>
      </c>
      <c r="AS195" s="271" t="s">
        <v>1709</v>
      </c>
      <c r="AT195" s="271" t="s">
        <v>1710</v>
      </c>
      <c r="AU195" s="271"/>
      <c r="AV195" s="271"/>
      <c r="AW195" s="271"/>
      <c r="AX195" s="271"/>
      <c r="AY195" s="271"/>
      <c r="AZ195" s="271"/>
      <c r="BA195" s="396" t="s">
        <v>985</v>
      </c>
      <c r="BB195" s="396"/>
      <c r="BC195" s="396"/>
      <c r="BD195" s="396"/>
      <c r="BE195" s="396"/>
      <c r="BF195" s="113">
        <v>10.25</v>
      </c>
      <c r="BG195" s="113">
        <v>7.75</v>
      </c>
      <c r="BH195" s="113">
        <v>10.5</v>
      </c>
      <c r="BI195" s="111">
        <f t="shared" si="55"/>
        <v>0.4826931423611111</v>
      </c>
      <c r="BJ195" s="113">
        <f>1.32+1.54+1.04+1.25+0.4</f>
        <v>5.5500000000000007</v>
      </c>
      <c r="BK195" s="341"/>
      <c r="BL195" s="341"/>
      <c r="BM195" s="124" t="s">
        <v>764</v>
      </c>
      <c r="BN195" s="27">
        <v>1</v>
      </c>
      <c r="BO195" s="27">
        <v>22</v>
      </c>
      <c r="BP195" s="27">
        <v>4</v>
      </c>
      <c r="BQ195" s="27">
        <f>BN195*BO195*BP195</f>
        <v>88</v>
      </c>
      <c r="BR195" s="27">
        <f t="shared" si="61"/>
        <v>538.40000000000009</v>
      </c>
      <c r="BS195" s="27" t="s">
        <v>886</v>
      </c>
      <c r="BT195" s="27" t="s">
        <v>766</v>
      </c>
      <c r="BU195" s="292"/>
      <c r="BV195" s="276"/>
      <c r="BW195" s="276"/>
      <c r="BX195" s="14"/>
      <c r="BY195" s="14"/>
      <c r="BZ195" s="14"/>
      <c r="CA195" s="14"/>
      <c r="CB195" s="14"/>
      <c r="CC195" s="14"/>
      <c r="CD195" s="14"/>
      <c r="CE195" s="14"/>
    </row>
    <row r="196" spans="1:83" s="125" customFormat="1" x14ac:dyDescent="0.25">
      <c r="A196" s="278">
        <v>41782</v>
      </c>
      <c r="B196" s="278"/>
      <c r="C196" s="261" t="s">
        <v>1711</v>
      </c>
      <c r="D196" s="250" t="s">
        <v>60</v>
      </c>
      <c r="E196" s="252" t="s">
        <v>1116</v>
      </c>
      <c r="F196" s="50" t="s">
        <v>1712</v>
      </c>
      <c r="G196" s="214" t="s">
        <v>1335</v>
      </c>
      <c r="H196" s="31" t="s">
        <v>1713</v>
      </c>
      <c r="I196" s="31"/>
      <c r="J196" s="31"/>
      <c r="K196" s="25"/>
      <c r="L196" s="26"/>
      <c r="M196" s="275"/>
      <c r="N196" s="275"/>
      <c r="O196" s="275"/>
      <c r="P196" s="275"/>
      <c r="Q196" s="275"/>
      <c r="R196" s="275"/>
      <c r="S196" s="275"/>
      <c r="T196" s="275"/>
      <c r="U196" s="294"/>
      <c r="V196" s="294"/>
      <c r="W196" s="25"/>
      <c r="X196" s="294"/>
      <c r="Y196" s="295"/>
      <c r="Z196" s="294"/>
      <c r="AA196" s="295"/>
      <c r="AB196" s="270"/>
      <c r="AC196" s="250"/>
      <c r="AD196" s="250"/>
      <c r="AE196" s="250"/>
      <c r="AF196" s="250"/>
      <c r="AG196" s="250"/>
      <c r="AH196" s="250"/>
      <c r="AI196" s="250"/>
      <c r="AJ196" s="250"/>
      <c r="AK196" s="261"/>
      <c r="AL196" s="250"/>
      <c r="AM196" s="250"/>
      <c r="AN196" s="250"/>
      <c r="AO196" s="250"/>
      <c r="AP196" s="250"/>
      <c r="AQ196" s="250"/>
      <c r="AR196" s="157">
        <v>78.75</v>
      </c>
      <c r="AS196" s="271" t="s">
        <v>1714</v>
      </c>
      <c r="AT196" s="271" t="s">
        <v>1715</v>
      </c>
      <c r="AU196" s="271"/>
      <c r="AV196" s="271"/>
      <c r="AW196" s="271"/>
      <c r="AX196" s="271"/>
      <c r="AY196" s="271"/>
      <c r="AZ196" s="271"/>
      <c r="BA196" s="112" t="s">
        <v>985</v>
      </c>
      <c r="BB196" s="112"/>
      <c r="BC196" s="112"/>
      <c r="BD196" s="112"/>
      <c r="BE196" s="112"/>
      <c r="BF196" s="113">
        <v>5.13</v>
      </c>
      <c r="BG196" s="113">
        <v>5.13</v>
      </c>
      <c r="BH196" s="113">
        <v>9.25</v>
      </c>
      <c r="BI196" s="111">
        <f t="shared" si="55"/>
        <v>0.14087460937499999</v>
      </c>
      <c r="BJ196" s="113">
        <f>0.9+0.25</f>
        <v>1.1499999999999999</v>
      </c>
      <c r="BK196" s="341"/>
      <c r="BL196" s="341"/>
      <c r="BM196" s="124" t="s">
        <v>764</v>
      </c>
      <c r="BN196" s="27">
        <v>1</v>
      </c>
      <c r="BO196" s="27">
        <v>48</v>
      </c>
      <c r="BP196" s="27">
        <v>3</v>
      </c>
      <c r="BQ196" s="27">
        <f t="shared" ref="BQ196:BQ202" si="62">BN196*BO196*BP196</f>
        <v>144</v>
      </c>
      <c r="BR196" s="27">
        <f t="shared" si="61"/>
        <v>215.6</v>
      </c>
      <c r="BS196" s="27" t="s">
        <v>886</v>
      </c>
      <c r="BT196" s="27"/>
      <c r="BU196" s="276"/>
      <c r="BV196" s="276"/>
      <c r="BW196" s="276"/>
      <c r="BX196" s="14"/>
      <c r="BY196" s="14"/>
      <c r="BZ196" s="14"/>
      <c r="CA196" s="14"/>
      <c r="CB196" s="14"/>
      <c r="CC196" s="14"/>
      <c r="CD196" s="14"/>
      <c r="CE196" s="14"/>
    </row>
    <row r="197" spans="1:83" s="125" customFormat="1" x14ac:dyDescent="0.25">
      <c r="A197" s="278">
        <v>41782</v>
      </c>
      <c r="B197" s="278"/>
      <c r="C197" s="261" t="s">
        <v>1716</v>
      </c>
      <c r="D197" s="250" t="s">
        <v>60</v>
      </c>
      <c r="E197" s="252" t="s">
        <v>1116</v>
      </c>
      <c r="F197" s="50" t="s">
        <v>1717</v>
      </c>
      <c r="G197" s="214" t="s">
        <v>1718</v>
      </c>
      <c r="H197" s="31">
        <v>230029</v>
      </c>
      <c r="I197" s="31"/>
      <c r="J197" s="31"/>
      <c r="K197" s="25"/>
      <c r="L197" s="26"/>
      <c r="M197" s="275"/>
      <c r="N197" s="275"/>
      <c r="O197" s="275"/>
      <c r="P197" s="275"/>
      <c r="Q197" s="275"/>
      <c r="R197" s="275"/>
      <c r="S197" s="275"/>
      <c r="T197" s="275"/>
      <c r="U197" s="294"/>
      <c r="V197" s="294"/>
      <c r="W197" s="25"/>
      <c r="X197" s="294"/>
      <c r="Y197" s="295"/>
      <c r="Z197" s="294"/>
      <c r="AA197" s="295" t="s">
        <v>1719</v>
      </c>
      <c r="AB197" s="270"/>
      <c r="AC197" s="250"/>
      <c r="AD197" s="250"/>
      <c r="AE197" s="250"/>
      <c r="AF197" s="250"/>
      <c r="AG197" s="250"/>
      <c r="AH197" s="250"/>
      <c r="AI197" s="250"/>
      <c r="AJ197" s="250"/>
      <c r="AK197" s="261"/>
      <c r="AL197" s="250"/>
      <c r="AM197" s="250"/>
      <c r="AN197" s="250"/>
      <c r="AO197" s="250"/>
      <c r="AP197" s="250"/>
      <c r="AQ197" s="250"/>
      <c r="AR197" s="157">
        <v>20.190000000000001</v>
      </c>
      <c r="AS197" s="282" t="s">
        <v>1720</v>
      </c>
      <c r="AT197" s="282" t="s">
        <v>1721</v>
      </c>
      <c r="AU197" s="282"/>
      <c r="AV197" s="282"/>
      <c r="AW197" s="282"/>
      <c r="AX197" s="282"/>
      <c r="AY197" s="282"/>
      <c r="AZ197" s="282"/>
      <c r="BA197" s="113" t="s">
        <v>1505</v>
      </c>
      <c r="BB197" s="114"/>
      <c r="BC197" s="114"/>
      <c r="BD197" s="114"/>
      <c r="BE197" s="114"/>
      <c r="BF197" s="113">
        <v>15.81</v>
      </c>
      <c r="BG197" s="113">
        <v>11.93</v>
      </c>
      <c r="BH197" s="113">
        <v>5.0599999999999996</v>
      </c>
      <c r="BI197" s="111">
        <f t="shared" si="55"/>
        <v>0.55230514930555552</v>
      </c>
      <c r="BJ197" s="113">
        <f>0.38*BN197+0.25</f>
        <v>4.8100000000000005</v>
      </c>
      <c r="BK197" s="341"/>
      <c r="BL197" s="341"/>
      <c r="BM197" s="124" t="s">
        <v>764</v>
      </c>
      <c r="BN197" s="27">
        <v>12</v>
      </c>
      <c r="BO197" s="27">
        <v>10</v>
      </c>
      <c r="BP197" s="27">
        <v>7</v>
      </c>
      <c r="BQ197" s="27">
        <f t="shared" si="62"/>
        <v>840</v>
      </c>
      <c r="BR197" s="27">
        <f t="shared" si="61"/>
        <v>386.70000000000005</v>
      </c>
      <c r="BS197" s="27" t="s">
        <v>886</v>
      </c>
      <c r="BT197" s="27" t="s">
        <v>766</v>
      </c>
      <c r="BU197" s="276"/>
      <c r="BV197" s="276"/>
      <c r="BW197" s="276"/>
      <c r="BX197" s="14"/>
      <c r="BY197" s="14"/>
      <c r="BZ197" s="14"/>
      <c r="CA197" s="14"/>
      <c r="CB197" s="14"/>
      <c r="CC197" s="14"/>
      <c r="CD197" s="14"/>
      <c r="CE197" s="14"/>
    </row>
    <row r="198" spans="1:83" s="125" customFormat="1" x14ac:dyDescent="0.25">
      <c r="A198" s="278">
        <v>41782</v>
      </c>
      <c r="B198" s="278"/>
      <c r="C198" s="252" t="s">
        <v>1722</v>
      </c>
      <c r="D198" s="250" t="s">
        <v>60</v>
      </c>
      <c r="E198" s="252" t="s">
        <v>1702</v>
      </c>
      <c r="F198" s="274" t="s">
        <v>1723</v>
      </c>
      <c r="G198" s="31" t="s">
        <v>1508</v>
      </c>
      <c r="H198" s="31">
        <v>300110625</v>
      </c>
      <c r="I198" s="31" t="s">
        <v>1724</v>
      </c>
      <c r="J198" s="31">
        <v>232006</v>
      </c>
      <c r="K198" s="25" t="s">
        <v>1369</v>
      </c>
      <c r="L198" s="26">
        <v>23538565</v>
      </c>
      <c r="M198" s="275"/>
      <c r="N198" s="275"/>
      <c r="O198" s="275"/>
      <c r="P198" s="275"/>
      <c r="Q198" s="275"/>
      <c r="R198" s="275"/>
      <c r="S198" s="275"/>
      <c r="T198" s="275"/>
      <c r="U198" s="294" t="s">
        <v>1725</v>
      </c>
      <c r="V198" s="294"/>
      <c r="W198" s="25">
        <v>86661</v>
      </c>
      <c r="X198" s="294"/>
      <c r="Y198" s="295" t="s">
        <v>1726</v>
      </c>
      <c r="Z198" s="294"/>
      <c r="AA198" s="295" t="s">
        <v>1727</v>
      </c>
      <c r="AB198" s="270" t="s">
        <v>1728</v>
      </c>
      <c r="AC198" s="250"/>
      <c r="AD198" s="250"/>
      <c r="AE198" s="250"/>
      <c r="AF198" s="250"/>
      <c r="AG198" s="250"/>
      <c r="AH198" s="250"/>
      <c r="AI198" s="250"/>
      <c r="AJ198" s="250"/>
      <c r="AK198" s="261">
        <v>3661</v>
      </c>
      <c r="AL198" s="250"/>
      <c r="AM198" s="250"/>
      <c r="AN198" s="250"/>
      <c r="AO198" s="250"/>
      <c r="AP198" s="250"/>
      <c r="AQ198" s="250">
        <v>33661</v>
      </c>
      <c r="AR198" s="157">
        <v>17.2</v>
      </c>
      <c r="AS198" s="271" t="s">
        <v>1729</v>
      </c>
      <c r="AT198" s="271" t="s">
        <v>1730</v>
      </c>
      <c r="AU198" s="271"/>
      <c r="AV198" s="271"/>
      <c r="AW198" s="271"/>
      <c r="AX198" s="271"/>
      <c r="AY198" s="271"/>
      <c r="AZ198" s="271"/>
      <c r="BA198" s="113">
        <v>3.8479999999999999</v>
      </c>
      <c r="BB198" s="113">
        <v>3.8479999999999999</v>
      </c>
      <c r="BC198" s="113">
        <v>5.4470000000000001</v>
      </c>
      <c r="BD198" s="111">
        <f>(BC198*BB198*BA198)/1728</f>
        <v>4.6674939518518511E-2</v>
      </c>
      <c r="BE198" s="113">
        <v>0.46200000000000002</v>
      </c>
      <c r="BF198" s="113">
        <v>15.81</v>
      </c>
      <c r="BG198" s="113">
        <v>11.93</v>
      </c>
      <c r="BH198" s="113">
        <v>6</v>
      </c>
      <c r="BI198" s="111">
        <f t="shared" si="55"/>
        <v>0.65490729166666672</v>
      </c>
      <c r="BJ198" s="113">
        <f>0.462*BN198+0.25</f>
        <v>5.7940000000000005</v>
      </c>
      <c r="BK198" s="341"/>
      <c r="BL198" s="341"/>
      <c r="BM198" s="124" t="s">
        <v>764</v>
      </c>
      <c r="BN198" s="27">
        <v>12</v>
      </c>
      <c r="BO198" s="27">
        <v>10</v>
      </c>
      <c r="BP198" s="27">
        <v>7</v>
      </c>
      <c r="BQ198" s="27">
        <f t="shared" si="62"/>
        <v>840</v>
      </c>
      <c r="BR198" s="27">
        <f t="shared" si="61"/>
        <v>455.58000000000004</v>
      </c>
      <c r="BS198" s="27" t="s">
        <v>886</v>
      </c>
      <c r="BT198" s="27" t="s">
        <v>766</v>
      </c>
      <c r="BU198" s="276"/>
      <c r="BV198" s="276"/>
      <c r="BW198" s="276"/>
      <c r="BX198" s="14"/>
      <c r="BY198" s="14"/>
      <c r="BZ198" s="14"/>
      <c r="CA198" s="14"/>
      <c r="CB198" s="14"/>
      <c r="CC198" s="14"/>
      <c r="CD198" s="14"/>
      <c r="CE198" s="14"/>
    </row>
    <row r="199" spans="1:83" s="125" customFormat="1" x14ac:dyDescent="0.25">
      <c r="A199" s="278">
        <v>41782</v>
      </c>
      <c r="B199" s="278"/>
      <c r="C199" s="252" t="s">
        <v>1731</v>
      </c>
      <c r="D199" s="250" t="s">
        <v>60</v>
      </c>
      <c r="E199" s="252" t="s">
        <v>1068</v>
      </c>
      <c r="F199" s="274" t="s">
        <v>1732</v>
      </c>
      <c r="G199" s="31" t="s">
        <v>10</v>
      </c>
      <c r="H199" s="31" t="s">
        <v>1733</v>
      </c>
      <c r="I199" s="31"/>
      <c r="J199" s="31"/>
      <c r="K199" s="25"/>
      <c r="L199" s="26"/>
      <c r="M199" s="275"/>
      <c r="N199" s="275"/>
      <c r="O199" s="275"/>
      <c r="P199" s="275"/>
      <c r="Q199" s="275"/>
      <c r="R199" s="275"/>
      <c r="S199" s="275"/>
      <c r="T199" s="275"/>
      <c r="U199" s="294"/>
      <c r="V199" s="294"/>
      <c r="W199" s="25"/>
      <c r="X199" s="294"/>
      <c r="Y199" s="295" t="s">
        <v>1733</v>
      </c>
      <c r="Z199" s="294"/>
      <c r="AA199" s="295"/>
      <c r="AB199" s="270"/>
      <c r="AC199" s="250"/>
      <c r="AD199" s="250"/>
      <c r="AE199" s="250"/>
      <c r="AF199" s="250"/>
      <c r="AG199" s="250"/>
      <c r="AH199" s="250"/>
      <c r="AI199" s="250"/>
      <c r="AJ199" s="250"/>
      <c r="AK199" s="261"/>
      <c r="AL199" s="250"/>
      <c r="AM199" s="250"/>
      <c r="AN199" s="250"/>
      <c r="AO199" s="250"/>
      <c r="AP199" s="250"/>
      <c r="AQ199" s="250"/>
      <c r="AR199" s="157">
        <v>290.89999999999998</v>
      </c>
      <c r="AS199" s="282" t="s">
        <v>1734</v>
      </c>
      <c r="AT199" s="282" t="s">
        <v>1735</v>
      </c>
      <c r="AU199" s="282"/>
      <c r="AV199" s="282"/>
      <c r="AW199" s="282"/>
      <c r="AX199" s="282"/>
      <c r="AY199" s="282"/>
      <c r="AZ199" s="282"/>
      <c r="BA199" s="112" t="s">
        <v>985</v>
      </c>
      <c r="BB199" s="112"/>
      <c r="BC199" s="112"/>
      <c r="BD199" s="112"/>
      <c r="BE199" s="112"/>
      <c r="BF199" s="113">
        <v>13.25</v>
      </c>
      <c r="BG199" s="113">
        <v>13.25</v>
      </c>
      <c r="BH199" s="113">
        <v>26.59</v>
      </c>
      <c r="BI199" s="111">
        <f t="shared" si="55"/>
        <v>2.7015086082175923</v>
      </c>
      <c r="BJ199" s="113">
        <f>10.92+0.25</f>
        <v>11.17</v>
      </c>
      <c r="BK199" s="341"/>
      <c r="BL199" s="341"/>
      <c r="BM199" s="124" t="s">
        <v>764</v>
      </c>
      <c r="BN199" s="27">
        <v>1</v>
      </c>
      <c r="BO199" s="27">
        <v>6</v>
      </c>
      <c r="BP199" s="27">
        <v>1</v>
      </c>
      <c r="BQ199" s="27">
        <f t="shared" si="62"/>
        <v>6</v>
      </c>
      <c r="BR199" s="27">
        <f t="shared" si="61"/>
        <v>117.02</v>
      </c>
      <c r="BS199" s="27" t="s">
        <v>886</v>
      </c>
      <c r="BT199" s="27" t="s">
        <v>766</v>
      </c>
      <c r="BU199" s="276"/>
      <c r="BV199" s="276"/>
      <c r="BW199" s="276"/>
      <c r="BX199" s="14"/>
      <c r="BY199" s="14"/>
      <c r="BZ199" s="14"/>
      <c r="CA199" s="14"/>
      <c r="CB199" s="14"/>
      <c r="CC199" s="14"/>
      <c r="CD199" s="14"/>
      <c r="CE199" s="14"/>
    </row>
    <row r="200" spans="1:83" s="125" customFormat="1" x14ac:dyDescent="0.25">
      <c r="A200" s="278">
        <v>41782</v>
      </c>
      <c r="B200" s="278"/>
      <c r="C200" s="261" t="s">
        <v>1736</v>
      </c>
      <c r="D200" s="250" t="s">
        <v>60</v>
      </c>
      <c r="E200" s="252" t="s">
        <v>1068</v>
      </c>
      <c r="F200" s="50" t="s">
        <v>1737</v>
      </c>
      <c r="G200" s="214" t="s">
        <v>10</v>
      </c>
      <c r="H200" s="31" t="s">
        <v>1738</v>
      </c>
      <c r="I200" s="31"/>
      <c r="J200" s="31"/>
      <c r="K200" s="25"/>
      <c r="L200" s="26"/>
      <c r="M200" s="275"/>
      <c r="N200" s="275"/>
      <c r="O200" s="275"/>
      <c r="P200" s="275"/>
      <c r="Q200" s="275"/>
      <c r="R200" s="275"/>
      <c r="S200" s="275"/>
      <c r="T200" s="275"/>
      <c r="U200" s="294"/>
      <c r="V200" s="294"/>
      <c r="W200" s="25"/>
      <c r="X200" s="294"/>
      <c r="Y200" s="31" t="s">
        <v>1738</v>
      </c>
      <c r="Z200" s="294"/>
      <c r="AA200" s="295"/>
      <c r="AB200" s="270"/>
      <c r="AC200" s="250"/>
      <c r="AD200" s="250"/>
      <c r="AE200" s="250"/>
      <c r="AF200" s="250"/>
      <c r="AG200" s="250"/>
      <c r="AH200" s="250"/>
      <c r="AI200" s="250"/>
      <c r="AJ200" s="250"/>
      <c r="AK200" s="261"/>
      <c r="AL200" s="250"/>
      <c r="AM200" s="250"/>
      <c r="AN200" s="250"/>
      <c r="AO200" s="250"/>
      <c r="AP200" s="250"/>
      <c r="AQ200" s="250"/>
      <c r="AR200" s="157">
        <v>347.53</v>
      </c>
      <c r="AS200" s="250"/>
      <c r="AT200" s="250"/>
      <c r="AU200" s="250"/>
      <c r="AV200" s="250"/>
      <c r="AW200" s="250"/>
      <c r="AX200" s="250"/>
      <c r="AY200" s="250"/>
      <c r="AZ200" s="250"/>
      <c r="BA200" s="112" t="s">
        <v>985</v>
      </c>
      <c r="BB200" s="112"/>
      <c r="BC200" s="112"/>
      <c r="BD200" s="112"/>
      <c r="BE200" s="112"/>
      <c r="BF200" s="113">
        <v>19.25</v>
      </c>
      <c r="BG200" s="113">
        <v>8.6</v>
      </c>
      <c r="BH200" s="113">
        <v>12.5</v>
      </c>
      <c r="BI200" s="111">
        <f t="shared" si="55"/>
        <v>1.1975549768518519</v>
      </c>
      <c r="BJ200" s="113">
        <f>5.51+0.25</f>
        <v>5.76</v>
      </c>
      <c r="BK200" s="341"/>
      <c r="BL200" s="341"/>
      <c r="BM200" s="124" t="s">
        <v>764</v>
      </c>
      <c r="BN200" s="27">
        <v>1</v>
      </c>
      <c r="BO200" s="27">
        <v>10</v>
      </c>
      <c r="BP200" s="27">
        <v>3</v>
      </c>
      <c r="BQ200" s="27">
        <f t="shared" si="62"/>
        <v>30</v>
      </c>
      <c r="BR200" s="27">
        <f t="shared" si="61"/>
        <v>222.79999999999998</v>
      </c>
      <c r="BS200" s="27" t="s">
        <v>886</v>
      </c>
      <c r="BT200" s="27"/>
      <c r="BU200" s="276"/>
      <c r="BV200" s="276"/>
      <c r="BW200" s="276"/>
      <c r="BX200" s="14"/>
      <c r="BY200" s="14"/>
      <c r="BZ200" s="14"/>
      <c r="CA200" s="14"/>
      <c r="CB200" s="14"/>
      <c r="CC200" s="14"/>
      <c r="CD200" s="14"/>
      <c r="CE200" s="14"/>
    </row>
    <row r="201" spans="1:83" s="125" customFormat="1" x14ac:dyDescent="0.25">
      <c r="A201" s="278">
        <v>41782</v>
      </c>
      <c r="B201" s="278"/>
      <c r="C201" s="261" t="s">
        <v>698</v>
      </c>
      <c r="D201" s="250" t="s">
        <v>60</v>
      </c>
      <c r="E201" s="252" t="s">
        <v>1068</v>
      </c>
      <c r="F201" s="50" t="s">
        <v>1739</v>
      </c>
      <c r="G201" s="214" t="s">
        <v>10</v>
      </c>
      <c r="H201" s="31" t="s">
        <v>1740</v>
      </c>
      <c r="I201" s="31"/>
      <c r="J201" s="31"/>
      <c r="K201" s="25"/>
      <c r="L201" s="26"/>
      <c r="M201" s="275"/>
      <c r="N201" s="275"/>
      <c r="O201" s="275"/>
      <c r="P201" s="275"/>
      <c r="Q201" s="275"/>
      <c r="R201" s="275"/>
      <c r="S201" s="275"/>
      <c r="T201" s="275"/>
      <c r="U201" s="294"/>
      <c r="V201" s="294"/>
      <c r="W201" s="25"/>
      <c r="X201" s="294"/>
      <c r="Y201" s="31" t="s">
        <v>1740</v>
      </c>
      <c r="Z201" s="294"/>
      <c r="AA201" s="295"/>
      <c r="AB201" s="270"/>
      <c r="AC201" s="250"/>
      <c r="AD201" s="250"/>
      <c r="AE201" s="250"/>
      <c r="AF201" s="250"/>
      <c r="AG201" s="250"/>
      <c r="AH201" s="250"/>
      <c r="AI201" s="250"/>
      <c r="AJ201" s="250"/>
      <c r="AK201" s="261"/>
      <c r="AL201" s="250"/>
      <c r="AM201" s="250"/>
      <c r="AN201" s="250"/>
      <c r="AO201" s="250"/>
      <c r="AP201" s="250"/>
      <c r="AQ201" s="250"/>
      <c r="AR201" s="157">
        <v>268.5</v>
      </c>
      <c r="AS201" s="271" t="s">
        <v>1741</v>
      </c>
      <c r="AT201" s="271" t="s">
        <v>1742</v>
      </c>
      <c r="AU201" s="271"/>
      <c r="AV201" s="271"/>
      <c r="AW201" s="271"/>
      <c r="AX201" s="271"/>
      <c r="AY201" s="271"/>
      <c r="AZ201" s="271"/>
      <c r="BA201" s="112" t="s">
        <v>985</v>
      </c>
      <c r="BB201" s="112"/>
      <c r="BC201" s="112"/>
      <c r="BD201" s="112"/>
      <c r="BE201" s="112"/>
      <c r="BF201" s="113">
        <v>11.505000000000001</v>
      </c>
      <c r="BG201" s="113">
        <v>11.505000000000001</v>
      </c>
      <c r="BH201" s="113">
        <v>24.63</v>
      </c>
      <c r="BI201" s="111">
        <f t="shared" si="55"/>
        <v>1.8866612070312501</v>
      </c>
      <c r="BJ201" s="113">
        <f>7.84+0.4</f>
        <v>8.24</v>
      </c>
      <c r="BK201" s="341"/>
      <c r="BL201" s="341"/>
      <c r="BM201" s="124" t="s">
        <v>764</v>
      </c>
      <c r="BN201" s="27">
        <v>1</v>
      </c>
      <c r="BO201" s="27">
        <v>6</v>
      </c>
      <c r="BP201" s="27">
        <v>1</v>
      </c>
      <c r="BQ201" s="27">
        <f t="shared" si="62"/>
        <v>6</v>
      </c>
      <c r="BR201" s="27">
        <f t="shared" si="61"/>
        <v>99.44</v>
      </c>
      <c r="BS201" s="27" t="s">
        <v>886</v>
      </c>
      <c r="BT201" s="27"/>
      <c r="BU201" s="276"/>
      <c r="BV201" s="276"/>
      <c r="BW201" s="276"/>
      <c r="BX201" s="14"/>
      <c r="BY201" s="14"/>
      <c r="BZ201" s="14"/>
      <c r="CA201" s="14"/>
      <c r="CB201" s="14"/>
      <c r="CC201" s="14"/>
      <c r="CD201" s="14"/>
      <c r="CE201" s="14"/>
    </row>
    <row r="202" spans="1:83" s="125" customFormat="1" ht="30" x14ac:dyDescent="0.25">
      <c r="A202" s="278">
        <v>41782</v>
      </c>
      <c r="B202" s="278"/>
      <c r="C202" s="251" t="s">
        <v>1743</v>
      </c>
      <c r="D202" s="250" t="s">
        <v>60</v>
      </c>
      <c r="E202" s="296" t="s">
        <v>1744</v>
      </c>
      <c r="F202" s="50" t="s">
        <v>1745</v>
      </c>
      <c r="G202" s="261" t="s">
        <v>1273</v>
      </c>
      <c r="H202" s="250">
        <v>925837</v>
      </c>
      <c r="I202" s="201" t="s">
        <v>1746</v>
      </c>
      <c r="J202" s="25">
        <v>757051</v>
      </c>
      <c r="K202" s="201" t="s">
        <v>1746</v>
      </c>
      <c r="L202" s="25">
        <v>7559101</v>
      </c>
      <c r="M202" s="25" t="s">
        <v>1747</v>
      </c>
      <c r="N202" s="250" t="s">
        <v>1748</v>
      </c>
      <c r="O202" s="250" t="s">
        <v>1273</v>
      </c>
      <c r="P202" s="250">
        <v>925836</v>
      </c>
      <c r="Q202" s="275"/>
      <c r="R202" s="275"/>
      <c r="S202" s="275"/>
      <c r="T202" s="275"/>
      <c r="U202" s="294" t="s">
        <v>1749</v>
      </c>
      <c r="V202" s="294"/>
      <c r="W202" s="25">
        <v>84888</v>
      </c>
      <c r="X202" s="294"/>
      <c r="Y202" s="295" t="s">
        <v>1750</v>
      </c>
      <c r="Z202" s="294"/>
      <c r="AA202" s="295" t="s">
        <v>1751</v>
      </c>
      <c r="AB202" s="270"/>
      <c r="AC202" s="250"/>
      <c r="AD202" s="250"/>
      <c r="AE202" s="250"/>
      <c r="AF202" s="250"/>
      <c r="AG202" s="250"/>
      <c r="AH202" s="250"/>
      <c r="AI202" s="250"/>
      <c r="AJ202" s="250"/>
      <c r="AK202" s="261">
        <v>7888</v>
      </c>
      <c r="AL202" s="250"/>
      <c r="AM202" s="250"/>
      <c r="AN202" s="250"/>
      <c r="AO202" s="250"/>
      <c r="AP202" s="250"/>
      <c r="AQ202" s="250">
        <v>57888</v>
      </c>
      <c r="AR202" s="157">
        <v>164.76</v>
      </c>
      <c r="AS202" s="282" t="s">
        <v>1752</v>
      </c>
      <c r="AT202" s="282" t="s">
        <v>1753</v>
      </c>
      <c r="AU202" s="282"/>
      <c r="AV202" s="282"/>
      <c r="AW202" s="282"/>
      <c r="AX202" s="282"/>
      <c r="AY202" s="282"/>
      <c r="AZ202" s="282"/>
      <c r="BA202" s="113" t="s">
        <v>1505</v>
      </c>
      <c r="BB202" s="114"/>
      <c r="BC202" s="114"/>
      <c r="BD202" s="114"/>
      <c r="BE202" s="114"/>
      <c r="BF202" s="259">
        <v>3.5</v>
      </c>
      <c r="BG202" s="259">
        <v>3.5</v>
      </c>
      <c r="BH202" s="259">
        <v>10.25</v>
      </c>
      <c r="BI202" s="111">
        <f t="shared" si="55"/>
        <v>7.2663483796296294E-2</v>
      </c>
      <c r="BJ202" s="259">
        <f>0.8*BN202+0.4</f>
        <v>10.000000000000002</v>
      </c>
      <c r="BK202" s="342"/>
      <c r="BL202" s="342"/>
      <c r="BM202" s="250" t="s">
        <v>764</v>
      </c>
      <c r="BN202" s="251">
        <v>12</v>
      </c>
      <c r="BO202" s="251">
        <v>9</v>
      </c>
      <c r="BP202" s="251">
        <v>4</v>
      </c>
      <c r="BQ202" s="27">
        <f t="shared" si="62"/>
        <v>432</v>
      </c>
      <c r="BR202" s="27">
        <f t="shared" si="61"/>
        <v>410.00000000000006</v>
      </c>
      <c r="BS202" s="27" t="s">
        <v>886</v>
      </c>
      <c r="BT202" s="27" t="s">
        <v>766</v>
      </c>
      <c r="BU202" s="276"/>
      <c r="BV202" s="276"/>
      <c r="BW202" s="276"/>
      <c r="BX202" s="14"/>
      <c r="BY202" s="14"/>
      <c r="BZ202" s="14"/>
      <c r="CA202" s="14"/>
      <c r="CB202" s="14"/>
      <c r="CC202" s="14"/>
      <c r="CD202" s="14"/>
      <c r="CE202" s="14"/>
    </row>
    <row r="203" spans="1:83" s="125" customFormat="1" x14ac:dyDescent="0.25">
      <c r="A203" s="278">
        <v>41782</v>
      </c>
      <c r="B203" s="278"/>
      <c r="C203" s="252" t="s">
        <v>1754</v>
      </c>
      <c r="D203" s="250" t="s">
        <v>60</v>
      </c>
      <c r="E203" s="252" t="s">
        <v>1707</v>
      </c>
      <c r="F203" s="41" t="s">
        <v>1755</v>
      </c>
      <c r="G203" s="214"/>
      <c r="H203" s="31"/>
      <c r="I203" s="31"/>
      <c r="J203" s="31"/>
      <c r="K203" s="25"/>
      <c r="L203" s="26"/>
      <c r="M203" s="275"/>
      <c r="N203" s="275"/>
      <c r="O203" s="275"/>
      <c r="P203" s="275"/>
      <c r="Q203" s="275"/>
      <c r="R203" s="275"/>
      <c r="S203" s="275"/>
      <c r="T203" s="275"/>
      <c r="U203" s="294"/>
      <c r="V203" s="294"/>
      <c r="W203" s="25"/>
      <c r="X203" s="294"/>
      <c r="Y203" s="295"/>
      <c r="Z203" s="294"/>
      <c r="AA203" s="295"/>
      <c r="AB203" s="270"/>
      <c r="AC203" s="250"/>
      <c r="AD203" s="250"/>
      <c r="AE203" s="250"/>
      <c r="AF203" s="250"/>
      <c r="AG203" s="250"/>
      <c r="AH203" s="250"/>
      <c r="AI203" s="250"/>
      <c r="AJ203" s="250"/>
      <c r="AK203" s="261"/>
      <c r="AL203" s="250"/>
      <c r="AM203" s="250"/>
      <c r="AN203" s="250"/>
      <c r="AO203" s="250"/>
      <c r="AP203" s="250"/>
      <c r="AQ203" s="250"/>
      <c r="AR203" s="157">
        <v>34.520000000000003</v>
      </c>
      <c r="AS203" s="282" t="s">
        <v>1756</v>
      </c>
      <c r="AT203" s="282" t="s">
        <v>1757</v>
      </c>
      <c r="AU203" s="282"/>
      <c r="AV203" s="282"/>
      <c r="AW203" s="282"/>
      <c r="AX203" s="282"/>
      <c r="AY203" s="282"/>
      <c r="AZ203" s="282"/>
      <c r="BA203" s="113" t="s">
        <v>1505</v>
      </c>
      <c r="BB203" s="114"/>
      <c r="BC203" s="114"/>
      <c r="BD203" s="114"/>
      <c r="BE203" s="114"/>
      <c r="BF203" s="113">
        <v>7.9950000000000001</v>
      </c>
      <c r="BG203" s="113">
        <v>7.9950000000000001</v>
      </c>
      <c r="BH203" s="113">
        <v>11.5</v>
      </c>
      <c r="BI203" s="111">
        <f>(BH203*BG203*BF203)/1728</f>
        <v>0.42539368489583329</v>
      </c>
      <c r="BJ203" s="113">
        <v>5.23</v>
      </c>
      <c r="BK203" s="341"/>
      <c r="BL203" s="341"/>
      <c r="BM203" s="124" t="s">
        <v>764</v>
      </c>
      <c r="BN203" s="27">
        <v>1</v>
      </c>
      <c r="BO203" s="27">
        <v>30</v>
      </c>
      <c r="BP203" s="27">
        <v>3</v>
      </c>
      <c r="BQ203" s="27">
        <f>BN203*BO203*BP203</f>
        <v>90</v>
      </c>
      <c r="BR203" s="27">
        <f>(BJ203*BO203*BP203)+50</f>
        <v>520.70000000000005</v>
      </c>
      <c r="BS203" s="27" t="s">
        <v>886</v>
      </c>
      <c r="BT203" s="27" t="s">
        <v>766</v>
      </c>
      <c r="BU203" s="276"/>
      <c r="BV203" s="276"/>
      <c r="BW203" s="276"/>
      <c r="BX203" s="14"/>
      <c r="BY203" s="14"/>
      <c r="BZ203" s="14"/>
      <c r="CA203" s="14"/>
      <c r="CB203" s="14"/>
      <c r="CC203" s="14"/>
      <c r="CD203" s="14"/>
      <c r="CE203" s="14"/>
    </row>
    <row r="204" spans="1:83" s="125" customFormat="1" x14ac:dyDescent="0.25">
      <c r="A204" s="278">
        <v>41782</v>
      </c>
      <c r="B204" s="278"/>
      <c r="C204" s="261" t="s">
        <v>1758</v>
      </c>
      <c r="D204" s="250" t="s">
        <v>60</v>
      </c>
      <c r="E204" s="252" t="s">
        <v>1759</v>
      </c>
      <c r="F204" s="41" t="s">
        <v>1760</v>
      </c>
      <c r="G204" s="214"/>
      <c r="H204" s="31"/>
      <c r="I204" s="31"/>
      <c r="J204" s="31"/>
      <c r="K204" s="25"/>
      <c r="L204" s="26"/>
      <c r="M204" s="275"/>
      <c r="N204" s="275"/>
      <c r="O204" s="275"/>
      <c r="P204" s="275"/>
      <c r="Q204" s="275"/>
      <c r="R204" s="275"/>
      <c r="S204" s="275"/>
      <c r="T204" s="275"/>
      <c r="U204" s="294"/>
      <c r="V204" s="294"/>
      <c r="W204" s="25"/>
      <c r="X204" s="294"/>
      <c r="Y204" s="295"/>
      <c r="Z204" s="294"/>
      <c r="AA204" s="295"/>
      <c r="AB204" s="270"/>
      <c r="AC204" s="250"/>
      <c r="AD204" s="250"/>
      <c r="AE204" s="250"/>
      <c r="AF204" s="250"/>
      <c r="AG204" s="250"/>
      <c r="AH204" s="250"/>
      <c r="AI204" s="250"/>
      <c r="AJ204" s="250"/>
      <c r="AK204" s="261"/>
      <c r="AL204" s="250"/>
      <c r="AM204" s="250"/>
      <c r="AN204" s="250"/>
      <c r="AO204" s="250"/>
      <c r="AP204" s="250"/>
      <c r="AQ204" s="250"/>
      <c r="AR204" s="157">
        <v>21.23</v>
      </c>
      <c r="AS204" s="271" t="s">
        <v>1761</v>
      </c>
      <c r="AT204" s="271" t="s">
        <v>1762</v>
      </c>
      <c r="AU204" s="271"/>
      <c r="AV204" s="271"/>
      <c r="AW204" s="271"/>
      <c r="AX204" s="271"/>
      <c r="AY204" s="271"/>
      <c r="AZ204" s="271"/>
      <c r="BA204" s="113" t="s">
        <v>1763</v>
      </c>
      <c r="BB204" s="114"/>
      <c r="BC204" s="114"/>
      <c r="BD204" s="114"/>
      <c r="BE204" s="114"/>
      <c r="BF204" s="113">
        <v>5.75</v>
      </c>
      <c r="BG204" s="113">
        <v>5.25</v>
      </c>
      <c r="BH204" s="113">
        <v>3.63</v>
      </c>
      <c r="BI204" s="111">
        <f>(BH204*BG204*BF204)/1728</f>
        <v>6.3414713541666667E-2</v>
      </c>
      <c r="BJ204" s="250"/>
      <c r="BK204" s="250"/>
      <c r="BL204" s="250"/>
      <c r="BM204" s="124" t="s">
        <v>764</v>
      </c>
      <c r="BN204" s="27">
        <v>6</v>
      </c>
      <c r="BO204" s="27">
        <v>56</v>
      </c>
      <c r="BP204" s="27">
        <v>12</v>
      </c>
      <c r="BQ204" s="27">
        <f>BN204*BO204*BP204</f>
        <v>4032</v>
      </c>
      <c r="BR204" s="27">
        <f>(BJ204*BO204*BP204)+50</f>
        <v>50</v>
      </c>
      <c r="BS204" s="27" t="s">
        <v>886</v>
      </c>
      <c r="BT204" s="27" t="s">
        <v>766</v>
      </c>
      <c r="BU204" s="276"/>
      <c r="BV204" s="276"/>
      <c r="BW204" s="276"/>
      <c r="BX204" s="14"/>
      <c r="BY204" s="14"/>
      <c r="BZ204" s="14"/>
      <c r="CA204" s="14"/>
      <c r="CB204" s="14"/>
      <c r="CC204" s="14"/>
      <c r="CD204" s="14"/>
      <c r="CE204" s="14"/>
    </row>
    <row r="205" spans="1:83" s="125" customFormat="1" x14ac:dyDescent="0.25">
      <c r="A205" s="278">
        <v>41782</v>
      </c>
      <c r="B205" s="278"/>
      <c r="C205" s="252" t="s">
        <v>1764</v>
      </c>
      <c r="D205" s="250" t="s">
        <v>60</v>
      </c>
      <c r="E205" s="252" t="s">
        <v>1125</v>
      </c>
      <c r="F205" s="274" t="s">
        <v>1765</v>
      </c>
      <c r="G205" s="31" t="s">
        <v>1149</v>
      </c>
      <c r="H205" s="31" t="s">
        <v>1766</v>
      </c>
      <c r="I205" s="31"/>
      <c r="J205" s="31"/>
      <c r="K205" s="25"/>
      <c r="L205" s="26"/>
      <c r="M205" s="275"/>
      <c r="N205" s="275"/>
      <c r="O205" s="275"/>
      <c r="P205" s="275"/>
      <c r="Q205" s="275"/>
      <c r="R205" s="275"/>
      <c r="S205" s="275"/>
      <c r="T205" s="275"/>
      <c r="U205" s="294"/>
      <c r="V205" s="294"/>
      <c r="W205" s="25"/>
      <c r="X205" s="294"/>
      <c r="Y205" s="295"/>
      <c r="Z205" s="294"/>
      <c r="AA205" s="295"/>
      <c r="AB205" s="270"/>
      <c r="AC205" s="250"/>
      <c r="AD205" s="250"/>
      <c r="AE205" s="250"/>
      <c r="AF205" s="250"/>
      <c r="AG205" s="250"/>
      <c r="AH205" s="250" t="s">
        <v>1767</v>
      </c>
      <c r="AI205" s="250"/>
      <c r="AJ205" s="250"/>
      <c r="AK205" s="261"/>
      <c r="AL205" s="250"/>
      <c r="AM205" s="250"/>
      <c r="AN205" s="250"/>
      <c r="AO205" s="250"/>
      <c r="AP205" s="250"/>
      <c r="AQ205" s="250">
        <v>57306</v>
      </c>
      <c r="AR205" s="157">
        <v>89.43</v>
      </c>
      <c r="AS205" s="282" t="s">
        <v>1768</v>
      </c>
      <c r="AT205" s="282" t="s">
        <v>1769</v>
      </c>
      <c r="AU205" s="282"/>
      <c r="AV205" s="282"/>
      <c r="AW205" s="282"/>
      <c r="AX205" s="282"/>
      <c r="AY205" s="282"/>
      <c r="AZ205" s="282"/>
      <c r="BA205" s="113">
        <v>4.7859999999999996</v>
      </c>
      <c r="BB205" s="113">
        <v>4.7859999999999996</v>
      </c>
      <c r="BC205" s="113">
        <v>8.1969999999999992</v>
      </c>
      <c r="BD205" s="111">
        <f>(BC205*BB205*BA205)/1728</f>
        <v>0.10865671864120367</v>
      </c>
      <c r="BE205" s="113">
        <v>0.79</v>
      </c>
      <c r="BF205" s="113">
        <v>14.805999999999999</v>
      </c>
      <c r="BG205" s="113">
        <v>10.055999999999999</v>
      </c>
      <c r="BH205" s="113">
        <v>9.4819999999999993</v>
      </c>
      <c r="BI205" s="111">
        <f>(BH205*BG205*BF205)/1728</f>
        <v>0.81699466872222215</v>
      </c>
      <c r="BJ205" s="113">
        <f>BE205*BN205+0.25</f>
        <v>4.99</v>
      </c>
      <c r="BK205" s="341"/>
      <c r="BL205" s="341"/>
      <c r="BM205" s="124" t="s">
        <v>764</v>
      </c>
      <c r="BN205" s="27">
        <v>6</v>
      </c>
      <c r="BO205" s="27">
        <v>12</v>
      </c>
      <c r="BP205" s="27">
        <v>5</v>
      </c>
      <c r="BQ205" s="27">
        <f>BN205*BO205*BP205</f>
        <v>360</v>
      </c>
      <c r="BR205" s="27">
        <f>(BJ205*BO205*BP205)+50</f>
        <v>349.40000000000003</v>
      </c>
      <c r="BS205" s="27" t="s">
        <v>1770</v>
      </c>
      <c r="BT205" s="27" t="s">
        <v>766</v>
      </c>
      <c r="BU205" s="276"/>
      <c r="BV205" s="276"/>
      <c r="BW205" s="276"/>
      <c r="BX205" s="14"/>
      <c r="BY205" s="14"/>
      <c r="BZ205" s="14"/>
      <c r="CA205" s="14"/>
      <c r="CB205" s="14"/>
      <c r="CC205" s="14"/>
      <c r="CD205" s="14"/>
      <c r="CE205" s="14"/>
    </row>
    <row r="206" spans="1:83" s="125" customFormat="1" x14ac:dyDescent="0.25">
      <c r="A206" s="278">
        <v>41760</v>
      </c>
      <c r="B206" s="278"/>
      <c r="C206" s="252" t="s">
        <v>1771</v>
      </c>
      <c r="D206" s="250" t="s">
        <v>60</v>
      </c>
      <c r="E206" s="252" t="s">
        <v>1707</v>
      </c>
      <c r="F206" s="41" t="s">
        <v>1772</v>
      </c>
      <c r="G206" s="250"/>
      <c r="H206" s="250"/>
      <c r="I206" s="250"/>
      <c r="J206" s="250"/>
      <c r="K206" s="25"/>
      <c r="L206" s="26"/>
      <c r="M206" s="275"/>
      <c r="N206" s="275"/>
      <c r="O206" s="275"/>
      <c r="P206" s="275"/>
      <c r="Q206" s="275"/>
      <c r="R206" s="275"/>
      <c r="S206" s="275"/>
      <c r="T206" s="275"/>
      <c r="U206" s="294"/>
      <c r="V206" s="294"/>
      <c r="W206" s="25"/>
      <c r="X206" s="294"/>
      <c r="Y206" s="295"/>
      <c r="Z206" s="294"/>
      <c r="AA206" s="295"/>
      <c r="AB206" s="270"/>
      <c r="AC206" s="250"/>
      <c r="AD206" s="250"/>
      <c r="AE206" s="250"/>
      <c r="AF206" s="250"/>
      <c r="AG206" s="250"/>
      <c r="AH206" s="250"/>
      <c r="AI206" s="250"/>
      <c r="AJ206" s="250"/>
      <c r="AK206" s="261"/>
      <c r="AL206" s="250"/>
      <c r="AM206" s="250"/>
      <c r="AN206" s="250"/>
      <c r="AO206" s="250"/>
      <c r="AP206" s="250"/>
      <c r="AQ206" s="250"/>
      <c r="AR206" s="157">
        <v>87.17</v>
      </c>
      <c r="AS206" s="282" t="s">
        <v>1773</v>
      </c>
      <c r="AT206" s="282" t="s">
        <v>1774</v>
      </c>
      <c r="AU206" s="282"/>
      <c r="AV206" s="282"/>
      <c r="AW206" s="282"/>
      <c r="AX206" s="282"/>
      <c r="AY206" s="282"/>
      <c r="AZ206" s="282"/>
      <c r="BA206" s="113" t="s">
        <v>1505</v>
      </c>
      <c r="BB206" s="113"/>
      <c r="BC206" s="113"/>
      <c r="BD206" s="113"/>
      <c r="BE206" s="113"/>
      <c r="BF206" s="113">
        <v>10.25</v>
      </c>
      <c r="BG206" s="113">
        <v>8</v>
      </c>
      <c r="BH206" s="113">
        <v>10.5</v>
      </c>
      <c r="BI206" s="111">
        <f t="shared" ref="BI206:BI221" si="63">(BH206*BG206*BF206)/1728</f>
        <v>0.4982638888888889</v>
      </c>
      <c r="BJ206" s="113">
        <v>5.97</v>
      </c>
      <c r="BK206" s="341"/>
      <c r="BL206" s="341"/>
      <c r="BM206" s="124" t="s">
        <v>764</v>
      </c>
      <c r="BN206" s="27">
        <v>1</v>
      </c>
      <c r="BO206" s="27">
        <v>22</v>
      </c>
      <c r="BP206" s="27">
        <v>4</v>
      </c>
      <c r="BQ206" s="27">
        <f t="shared" ref="BQ206:BQ221" si="64">BN206*BO206*BP206</f>
        <v>88</v>
      </c>
      <c r="BR206" s="27">
        <f t="shared" ref="BR206:BR221" si="65">(BJ206*BO206*BP206)+50</f>
        <v>575.36</v>
      </c>
      <c r="BS206" s="27" t="s">
        <v>886</v>
      </c>
      <c r="BT206" s="27" t="s">
        <v>766</v>
      </c>
      <c r="BU206" s="276"/>
      <c r="BV206" s="276"/>
      <c r="BW206" s="276"/>
      <c r="BX206" s="14"/>
      <c r="BY206" s="14"/>
      <c r="BZ206" s="14"/>
      <c r="CA206" s="14"/>
      <c r="CB206" s="14"/>
      <c r="CC206" s="14"/>
      <c r="CD206" s="14"/>
      <c r="CE206" s="14"/>
    </row>
    <row r="207" spans="1:83" s="125" customFormat="1" x14ac:dyDescent="0.25">
      <c r="A207" s="278">
        <v>41760</v>
      </c>
      <c r="B207" s="278"/>
      <c r="C207" s="252" t="s">
        <v>1775</v>
      </c>
      <c r="D207" s="250" t="s">
        <v>60</v>
      </c>
      <c r="E207" s="252" t="s">
        <v>1707</v>
      </c>
      <c r="F207" s="31" t="s">
        <v>1776</v>
      </c>
      <c r="G207" s="250"/>
      <c r="H207" s="250"/>
      <c r="I207" s="250"/>
      <c r="J207" s="250"/>
      <c r="K207" s="25"/>
      <c r="L207" s="26"/>
      <c r="M207" s="275"/>
      <c r="N207" s="275"/>
      <c r="O207" s="275"/>
      <c r="P207" s="275"/>
      <c r="Q207" s="275"/>
      <c r="R207" s="275"/>
      <c r="S207" s="275"/>
      <c r="T207" s="275"/>
      <c r="U207" s="294"/>
      <c r="V207" s="294"/>
      <c r="W207" s="25"/>
      <c r="X207" s="294"/>
      <c r="Y207" s="295"/>
      <c r="Z207" s="294"/>
      <c r="AA207" s="295"/>
      <c r="AB207" s="270"/>
      <c r="AC207" s="250"/>
      <c r="AD207" s="250"/>
      <c r="AE207" s="250"/>
      <c r="AF207" s="250"/>
      <c r="AG207" s="250"/>
      <c r="AH207" s="250"/>
      <c r="AI207" s="250"/>
      <c r="AJ207" s="250"/>
      <c r="AK207" s="261"/>
      <c r="AL207" s="250"/>
      <c r="AM207" s="250"/>
      <c r="AN207" s="250"/>
      <c r="AO207" s="250"/>
      <c r="AP207" s="250"/>
      <c r="AQ207" s="250"/>
      <c r="AR207" s="157">
        <v>40.479999999999997</v>
      </c>
      <c r="AS207" s="282" t="s">
        <v>1777</v>
      </c>
      <c r="AT207" s="282" t="s">
        <v>1778</v>
      </c>
      <c r="AU207" s="282"/>
      <c r="AV207" s="282"/>
      <c r="AW207" s="282"/>
      <c r="AX207" s="282"/>
      <c r="AY207" s="282"/>
      <c r="AZ207" s="282"/>
      <c r="BA207" s="113" t="s">
        <v>1505</v>
      </c>
      <c r="BB207" s="113"/>
      <c r="BC207" s="113"/>
      <c r="BD207" s="113"/>
      <c r="BE207" s="113"/>
      <c r="BF207" s="113">
        <v>9</v>
      </c>
      <c r="BG207" s="113">
        <v>9</v>
      </c>
      <c r="BH207" s="113">
        <v>8.8699999999999992</v>
      </c>
      <c r="BI207" s="111">
        <f t="shared" si="63"/>
        <v>0.41578124999999999</v>
      </c>
      <c r="BJ207" s="113">
        <v>3.16</v>
      </c>
      <c r="BK207" s="341"/>
      <c r="BL207" s="341"/>
      <c r="BM207" s="124" t="s">
        <v>764</v>
      </c>
      <c r="BN207" s="27">
        <v>1</v>
      </c>
      <c r="BO207" s="27">
        <v>20</v>
      </c>
      <c r="BP207" s="27">
        <v>5</v>
      </c>
      <c r="BQ207" s="27">
        <f t="shared" si="64"/>
        <v>100</v>
      </c>
      <c r="BR207" s="27">
        <f t="shared" si="65"/>
        <v>366</v>
      </c>
      <c r="BS207" s="27" t="s">
        <v>886</v>
      </c>
      <c r="BT207" s="27" t="s">
        <v>766</v>
      </c>
      <c r="BU207" s="276"/>
      <c r="BV207" s="276"/>
      <c r="BW207" s="276"/>
      <c r="BX207" s="14"/>
      <c r="BY207" s="14"/>
      <c r="BZ207" s="14"/>
      <c r="CA207" s="14"/>
      <c r="CB207" s="14"/>
      <c r="CC207" s="14"/>
      <c r="CD207" s="14"/>
      <c r="CE207" s="14"/>
    </row>
    <row r="208" spans="1:83" s="125" customFormat="1" x14ac:dyDescent="0.25">
      <c r="A208" s="278">
        <v>41760</v>
      </c>
      <c r="B208" s="278"/>
      <c r="C208" s="252" t="s">
        <v>1779</v>
      </c>
      <c r="D208" s="250" t="s">
        <v>60</v>
      </c>
      <c r="E208" s="252" t="s">
        <v>1707</v>
      </c>
      <c r="F208" s="31" t="s">
        <v>1780</v>
      </c>
      <c r="G208" s="250"/>
      <c r="H208" s="250"/>
      <c r="I208" s="250"/>
      <c r="J208" s="250"/>
      <c r="K208" s="41"/>
      <c r="L208" s="50"/>
      <c r="M208" s="275"/>
      <c r="N208" s="275"/>
      <c r="O208" s="275"/>
      <c r="P208" s="275"/>
      <c r="Q208" s="275"/>
      <c r="R208" s="275"/>
      <c r="S208" s="275"/>
      <c r="T208" s="275"/>
      <c r="U208" s="294"/>
      <c r="V208" s="294"/>
      <c r="W208" s="41"/>
      <c r="X208" s="294"/>
      <c r="Y208" s="158"/>
      <c r="Z208" s="294"/>
      <c r="AA208" s="158"/>
      <c r="AB208" s="270"/>
      <c r="AC208" s="250"/>
      <c r="AD208" s="250"/>
      <c r="AE208" s="250"/>
      <c r="AF208" s="250"/>
      <c r="AG208" s="250"/>
      <c r="AH208" s="250"/>
      <c r="AI208" s="250"/>
      <c r="AJ208" s="250"/>
      <c r="AK208" s="261"/>
      <c r="AL208" s="250"/>
      <c r="AM208" s="250"/>
      <c r="AN208" s="250"/>
      <c r="AO208" s="250"/>
      <c r="AP208" s="250"/>
      <c r="AQ208" s="250"/>
      <c r="AR208" s="157">
        <v>69.900000000000006</v>
      </c>
      <c r="AS208" s="271" t="s">
        <v>1781</v>
      </c>
      <c r="AT208" s="271" t="s">
        <v>1782</v>
      </c>
      <c r="AU208" s="271"/>
      <c r="AV208" s="271"/>
      <c r="AW208" s="271"/>
      <c r="AX208" s="271"/>
      <c r="AY208" s="271"/>
      <c r="AZ208" s="271"/>
      <c r="BA208" s="113" t="s">
        <v>1505</v>
      </c>
      <c r="BB208" s="113"/>
      <c r="BC208" s="113"/>
      <c r="BD208" s="113"/>
      <c r="BE208" s="113"/>
      <c r="BF208" s="113">
        <v>8.5299999999999994</v>
      </c>
      <c r="BG208" s="113">
        <v>7.25</v>
      </c>
      <c r="BH208" s="113">
        <v>8.7799999999999994</v>
      </c>
      <c r="BI208" s="111">
        <f t="shared" si="63"/>
        <v>0.31422288773148144</v>
      </c>
      <c r="BJ208" s="113">
        <v>3.79</v>
      </c>
      <c r="BK208" s="341"/>
      <c r="BL208" s="341"/>
      <c r="BM208" s="44" t="s">
        <v>764</v>
      </c>
      <c r="BN208" s="27">
        <v>1</v>
      </c>
      <c r="BO208" s="27">
        <v>27</v>
      </c>
      <c r="BP208" s="27">
        <v>4</v>
      </c>
      <c r="BQ208" s="27">
        <f t="shared" si="64"/>
        <v>108</v>
      </c>
      <c r="BR208" s="27">
        <f t="shared" si="65"/>
        <v>459.32</v>
      </c>
      <c r="BS208" s="27" t="s">
        <v>886</v>
      </c>
      <c r="BT208" s="27" t="s">
        <v>766</v>
      </c>
      <c r="BU208" s="276"/>
      <c r="BV208" s="276"/>
      <c r="BW208" s="276"/>
      <c r="BX208" s="14"/>
      <c r="BY208" s="14"/>
      <c r="BZ208" s="14"/>
      <c r="CA208" s="14"/>
      <c r="CB208" s="14"/>
      <c r="CC208" s="14"/>
      <c r="CD208" s="14"/>
      <c r="CE208" s="14"/>
    </row>
    <row r="209" spans="1:83" s="125" customFormat="1" x14ac:dyDescent="0.25">
      <c r="A209" s="278">
        <v>41760</v>
      </c>
      <c r="B209" s="278"/>
      <c r="C209" s="252" t="s">
        <v>1783</v>
      </c>
      <c r="D209" s="250" t="s">
        <v>60</v>
      </c>
      <c r="E209" s="252" t="s">
        <v>1784</v>
      </c>
      <c r="F209" s="274" t="s">
        <v>1785</v>
      </c>
      <c r="G209" s="250" t="s">
        <v>980</v>
      </c>
      <c r="H209" s="250" t="s">
        <v>1786</v>
      </c>
      <c r="I209" s="250"/>
      <c r="J209" s="250"/>
      <c r="K209" s="41"/>
      <c r="L209" s="50"/>
      <c r="M209" s="275"/>
      <c r="N209" s="275"/>
      <c r="O209" s="275"/>
      <c r="P209" s="275"/>
      <c r="Q209" s="275"/>
      <c r="R209" s="275"/>
      <c r="S209" s="275"/>
      <c r="T209" s="275"/>
      <c r="U209" s="294" t="s">
        <v>1787</v>
      </c>
      <c r="V209" s="294"/>
      <c r="W209" s="41"/>
      <c r="X209" s="294"/>
      <c r="Y209" s="158" t="s">
        <v>1788</v>
      </c>
      <c r="Z209" s="294"/>
      <c r="AA209" s="158" t="s">
        <v>1789</v>
      </c>
      <c r="AB209" s="270"/>
      <c r="AC209" s="250"/>
      <c r="AD209" s="250"/>
      <c r="AE209" s="250"/>
      <c r="AF209" s="250"/>
      <c r="AG209" s="250"/>
      <c r="AH209" s="250"/>
      <c r="AI209" s="250"/>
      <c r="AJ209" s="250"/>
      <c r="AK209" s="261"/>
      <c r="AL209" s="250"/>
      <c r="AM209" s="250"/>
      <c r="AN209" s="250"/>
      <c r="AO209" s="250"/>
      <c r="AP209" s="250"/>
      <c r="AQ209" s="250">
        <v>57221</v>
      </c>
      <c r="AR209" s="157">
        <v>45.88</v>
      </c>
      <c r="AS209" s="271" t="s">
        <v>1790</v>
      </c>
      <c r="AT209" s="271" t="s">
        <v>1791</v>
      </c>
      <c r="AU209" s="271"/>
      <c r="AV209" s="271"/>
      <c r="AW209" s="271"/>
      <c r="AX209" s="271"/>
      <c r="AY209" s="271"/>
      <c r="AZ209" s="271"/>
      <c r="BA209" s="113">
        <v>4.3125</v>
      </c>
      <c r="BB209" s="113">
        <v>4.3129999999999997</v>
      </c>
      <c r="BC209" s="113">
        <v>6.75</v>
      </c>
      <c r="BD209" s="111">
        <f>(BC209*BB209*BA209)/1728</f>
        <v>7.2655517578124995E-2</v>
      </c>
      <c r="BE209" s="113">
        <v>2.37</v>
      </c>
      <c r="BF209" s="113">
        <v>13.680999999999999</v>
      </c>
      <c r="BG209" s="113">
        <v>9.2434999999999992</v>
      </c>
      <c r="BH209" s="113">
        <v>7.6120000000000001</v>
      </c>
      <c r="BI209" s="111">
        <f t="shared" si="63"/>
        <v>0.55706943430671285</v>
      </c>
      <c r="BJ209" s="113">
        <f>BE209*BN209+0.25</f>
        <v>14.47</v>
      </c>
      <c r="BK209" s="341"/>
      <c r="BL209" s="341"/>
      <c r="BM209" s="44" t="s">
        <v>764</v>
      </c>
      <c r="BN209" s="27">
        <v>6</v>
      </c>
      <c r="BO209" s="27">
        <v>13</v>
      </c>
      <c r="BP209" s="27">
        <v>6</v>
      </c>
      <c r="BQ209" s="27">
        <f t="shared" si="64"/>
        <v>468</v>
      </c>
      <c r="BR209" s="27">
        <f t="shared" si="65"/>
        <v>1178.6600000000001</v>
      </c>
      <c r="BS209" s="297" t="s">
        <v>886</v>
      </c>
      <c r="BT209" s="27" t="s">
        <v>766</v>
      </c>
      <c r="BU209" s="276"/>
      <c r="BV209" s="276"/>
      <c r="BW209" s="276"/>
      <c r="BX209" s="14"/>
      <c r="BY209" s="14"/>
      <c r="BZ209" s="14"/>
      <c r="CA209" s="14"/>
      <c r="CB209" s="14"/>
      <c r="CC209" s="14"/>
      <c r="CD209" s="14"/>
      <c r="CE209" s="14"/>
    </row>
    <row r="210" spans="1:83" s="125" customFormat="1" ht="30" x14ac:dyDescent="0.25">
      <c r="A210" s="278">
        <v>41760</v>
      </c>
      <c r="B210" s="278"/>
      <c r="C210" s="252" t="s">
        <v>1792</v>
      </c>
      <c r="D210" s="250" t="s">
        <v>60</v>
      </c>
      <c r="E210" s="252" t="s">
        <v>1125</v>
      </c>
      <c r="F210" s="274" t="s">
        <v>1793</v>
      </c>
      <c r="G210" s="250" t="s">
        <v>1149</v>
      </c>
      <c r="H210" s="250" t="s">
        <v>1794</v>
      </c>
      <c r="I210" s="250" t="s">
        <v>1149</v>
      </c>
      <c r="J210" s="250" t="s">
        <v>1795</v>
      </c>
      <c r="K210" s="41"/>
      <c r="L210" s="50"/>
      <c r="M210" s="275"/>
      <c r="N210" s="275"/>
      <c r="O210" s="275"/>
      <c r="P210" s="275"/>
      <c r="Q210" s="275"/>
      <c r="R210" s="275"/>
      <c r="S210" s="275"/>
      <c r="T210" s="275"/>
      <c r="U210" s="294"/>
      <c r="V210" s="294"/>
      <c r="W210" s="41">
        <v>84669</v>
      </c>
      <c r="X210" s="294"/>
      <c r="Y210" s="158"/>
      <c r="Z210" s="294"/>
      <c r="AA210" s="158"/>
      <c r="AB210" s="270"/>
      <c r="AC210" s="250"/>
      <c r="AD210" s="250"/>
      <c r="AE210" s="250"/>
      <c r="AF210" s="250"/>
      <c r="AG210" s="250"/>
      <c r="AH210" s="250"/>
      <c r="AI210" s="250"/>
      <c r="AJ210" s="250"/>
      <c r="AK210" s="261">
        <v>7669</v>
      </c>
      <c r="AL210" s="250"/>
      <c r="AM210" s="250"/>
      <c r="AN210" s="250"/>
      <c r="AO210" s="250"/>
      <c r="AP210" s="250"/>
      <c r="AQ210" s="250">
        <v>57669</v>
      </c>
      <c r="AR210" s="157">
        <v>33.950000000000003</v>
      </c>
      <c r="AS210" s="282" t="s">
        <v>1796</v>
      </c>
      <c r="AT210" s="282" t="s">
        <v>1797</v>
      </c>
      <c r="AU210" s="282"/>
      <c r="AV210" s="282"/>
      <c r="AW210" s="282"/>
      <c r="AX210" s="282"/>
      <c r="AY210" s="282"/>
      <c r="AZ210" s="282"/>
      <c r="BA210" s="397" t="s">
        <v>1505</v>
      </c>
      <c r="BB210" s="397"/>
      <c r="BC210" s="397"/>
      <c r="BD210" s="397"/>
      <c r="BE210" s="397"/>
      <c r="BF210" s="113">
        <v>19.125</v>
      </c>
      <c r="BG210" s="113">
        <v>14.494999999999999</v>
      </c>
      <c r="BH210" s="113">
        <v>10.37</v>
      </c>
      <c r="BI210" s="111">
        <f t="shared" si="63"/>
        <v>1.6636221028645832</v>
      </c>
      <c r="BJ210" s="113">
        <f>2.12*BN210+0.4</f>
        <v>25.84</v>
      </c>
      <c r="BK210" s="341"/>
      <c r="BL210" s="341"/>
      <c r="BM210" s="124" t="s">
        <v>764</v>
      </c>
      <c r="BN210" s="27">
        <v>12</v>
      </c>
      <c r="BO210" s="27">
        <v>6</v>
      </c>
      <c r="BP210" s="27">
        <v>4</v>
      </c>
      <c r="BQ210" s="27">
        <f t="shared" si="64"/>
        <v>288</v>
      </c>
      <c r="BR210" s="27">
        <f t="shared" si="65"/>
        <v>670.16</v>
      </c>
      <c r="BS210" s="27" t="s">
        <v>886</v>
      </c>
      <c r="BT210" s="27" t="s">
        <v>766</v>
      </c>
      <c r="BU210" s="276"/>
      <c r="BV210" s="276"/>
      <c r="BW210" s="276"/>
      <c r="BX210" s="14"/>
      <c r="BY210" s="14"/>
      <c r="BZ210" s="14"/>
      <c r="CA210" s="14"/>
      <c r="CB210" s="14"/>
      <c r="CC210" s="14"/>
      <c r="CD210" s="14"/>
      <c r="CE210" s="14"/>
    </row>
    <row r="211" spans="1:83" s="125" customFormat="1" x14ac:dyDescent="0.25">
      <c r="A211" s="278">
        <v>41760</v>
      </c>
      <c r="B211" s="278"/>
      <c r="C211" s="252" t="s">
        <v>1798</v>
      </c>
      <c r="D211" s="252" t="s">
        <v>735</v>
      </c>
      <c r="E211" s="252" t="s">
        <v>1799</v>
      </c>
      <c r="F211" s="274" t="s">
        <v>1800</v>
      </c>
      <c r="G211" s="250" t="s">
        <v>1042</v>
      </c>
      <c r="H211" s="250" t="s">
        <v>1801</v>
      </c>
      <c r="I211" s="250"/>
      <c r="J211" s="250"/>
      <c r="K211" s="41"/>
      <c r="L211" s="50"/>
      <c r="M211" s="275"/>
      <c r="N211" s="275"/>
      <c r="O211" s="275"/>
      <c r="P211" s="275"/>
      <c r="Q211" s="275"/>
      <c r="R211" s="275"/>
      <c r="S211" s="275"/>
      <c r="T211" s="275"/>
      <c r="U211" s="294"/>
      <c r="V211" s="294"/>
      <c r="W211" s="41"/>
      <c r="X211" s="294"/>
      <c r="Y211" s="158"/>
      <c r="Z211" s="294"/>
      <c r="AA211" s="158"/>
      <c r="AB211" s="270" t="s">
        <v>1802</v>
      </c>
      <c r="AC211" s="250"/>
      <c r="AD211" s="250"/>
      <c r="AE211" s="250" t="s">
        <v>1803</v>
      </c>
      <c r="AF211" s="250"/>
      <c r="AG211" s="250"/>
      <c r="AH211" s="250"/>
      <c r="AI211" s="250"/>
      <c r="AJ211" s="250"/>
      <c r="AK211" s="261"/>
      <c r="AL211" s="250" t="s">
        <v>1804</v>
      </c>
      <c r="AM211" s="250"/>
      <c r="AN211" s="250" t="s">
        <v>1805</v>
      </c>
      <c r="AO211" s="250"/>
      <c r="AP211" s="250" t="s">
        <v>1806</v>
      </c>
      <c r="AQ211" s="250">
        <v>49008</v>
      </c>
      <c r="AR211" s="157">
        <v>33.97</v>
      </c>
      <c r="AS211" s="271" t="s">
        <v>1807</v>
      </c>
      <c r="AT211" s="271" t="s">
        <v>1808</v>
      </c>
      <c r="AU211" s="271"/>
      <c r="AV211" s="271"/>
      <c r="AW211" s="271"/>
      <c r="AX211" s="271"/>
      <c r="AY211" s="271"/>
      <c r="AZ211" s="271"/>
      <c r="BA211" s="113">
        <v>8.6560000000000006</v>
      </c>
      <c r="BB211" s="113">
        <v>2.286</v>
      </c>
      <c r="BC211" s="113">
        <v>13.942</v>
      </c>
      <c r="BD211" s="111">
        <f>(BC211*BB211*BA211)/1728</f>
        <v>0.15965216566666668</v>
      </c>
      <c r="BE211" s="113">
        <v>0.35</v>
      </c>
      <c r="BF211" s="113">
        <v>14.5</v>
      </c>
      <c r="BG211" s="113">
        <v>9.25</v>
      </c>
      <c r="BH211" s="113">
        <v>7.5</v>
      </c>
      <c r="BI211" s="111">
        <f t="shared" si="63"/>
        <v>0.58213975694444442</v>
      </c>
      <c r="BJ211" s="113">
        <f>BE211*BN211</f>
        <v>1.0499999999999998</v>
      </c>
      <c r="BK211" s="341"/>
      <c r="BL211" s="341"/>
      <c r="BM211" s="44" t="s">
        <v>764</v>
      </c>
      <c r="BN211" s="27">
        <v>3</v>
      </c>
      <c r="BO211" s="27">
        <v>13</v>
      </c>
      <c r="BP211" s="27">
        <v>5</v>
      </c>
      <c r="BQ211" s="27">
        <f t="shared" si="64"/>
        <v>195</v>
      </c>
      <c r="BR211" s="27">
        <f t="shared" si="65"/>
        <v>118.25</v>
      </c>
      <c r="BS211" s="297" t="s">
        <v>769</v>
      </c>
      <c r="BT211" s="27" t="s">
        <v>766</v>
      </c>
      <c r="BU211" s="276"/>
      <c r="BV211" s="276"/>
      <c r="BW211" s="276"/>
      <c r="BX211" s="14"/>
      <c r="BY211" s="14"/>
      <c r="BZ211" s="14"/>
      <c r="CA211" s="14"/>
      <c r="CB211" s="14"/>
      <c r="CC211" s="14"/>
      <c r="CD211" s="14"/>
      <c r="CE211" s="14"/>
    </row>
    <row r="212" spans="1:83" s="125" customFormat="1" x14ac:dyDescent="0.25">
      <c r="A212" s="278">
        <v>41760</v>
      </c>
      <c r="B212" s="278"/>
      <c r="C212" s="252" t="s">
        <v>1809</v>
      </c>
      <c r="D212" s="252" t="s">
        <v>735</v>
      </c>
      <c r="E212" s="252" t="s">
        <v>1084</v>
      </c>
      <c r="F212" s="274" t="s">
        <v>1810</v>
      </c>
      <c r="G212" s="250" t="s">
        <v>737</v>
      </c>
      <c r="H212" s="250">
        <v>92234714</v>
      </c>
      <c r="I212" s="250" t="s">
        <v>738</v>
      </c>
      <c r="J212" s="250" t="s">
        <v>1811</v>
      </c>
      <c r="K212" s="41"/>
      <c r="L212" s="50"/>
      <c r="M212" s="275"/>
      <c r="N212" s="275"/>
      <c r="O212" s="275"/>
      <c r="P212" s="275"/>
      <c r="Q212" s="275"/>
      <c r="R212" s="275"/>
      <c r="S212" s="275"/>
      <c r="T212" s="275"/>
      <c r="U212" s="294"/>
      <c r="V212" s="294"/>
      <c r="W212" s="41"/>
      <c r="X212" s="294"/>
      <c r="Y212" s="158"/>
      <c r="Z212" s="294"/>
      <c r="AA212" s="158"/>
      <c r="AB212" s="270" t="s">
        <v>1812</v>
      </c>
      <c r="AC212" s="250"/>
      <c r="AD212" s="250"/>
      <c r="AE212" s="250"/>
      <c r="AF212" s="250"/>
      <c r="AG212" s="250"/>
      <c r="AH212" s="250"/>
      <c r="AI212" s="250" t="s">
        <v>1813</v>
      </c>
      <c r="AJ212" s="250"/>
      <c r="AK212" s="261"/>
      <c r="AL212" s="250" t="s">
        <v>1814</v>
      </c>
      <c r="AM212" s="250" t="s">
        <v>1813</v>
      </c>
      <c r="AN212" s="250" t="s">
        <v>1814</v>
      </c>
      <c r="AO212" s="250"/>
      <c r="AP212" s="250" t="s">
        <v>1815</v>
      </c>
      <c r="AQ212" s="250">
        <v>24014</v>
      </c>
      <c r="AR212" s="157">
        <v>22.46</v>
      </c>
      <c r="AS212" s="271" t="s">
        <v>1816</v>
      </c>
      <c r="AT212" s="271" t="s">
        <v>1817</v>
      </c>
      <c r="AU212" s="271"/>
      <c r="AV212" s="271"/>
      <c r="AW212" s="271"/>
      <c r="AX212" s="271"/>
      <c r="AY212" s="271"/>
      <c r="AZ212" s="271"/>
      <c r="BA212" s="113" t="s">
        <v>1505</v>
      </c>
      <c r="BB212" s="113"/>
      <c r="BC212" s="113"/>
      <c r="BD212" s="113"/>
      <c r="BE212" s="113"/>
      <c r="BF212" s="113">
        <v>11.38</v>
      </c>
      <c r="BG212" s="113">
        <v>10.5</v>
      </c>
      <c r="BH212" s="113">
        <v>6.13</v>
      </c>
      <c r="BI212" s="111">
        <f t="shared" si="63"/>
        <v>0.42388524305555558</v>
      </c>
      <c r="BJ212" s="113">
        <f>0.72*BN212+0.25</f>
        <v>4.57</v>
      </c>
      <c r="BK212" s="341"/>
      <c r="BL212" s="341"/>
      <c r="BM212" s="44" t="s">
        <v>764</v>
      </c>
      <c r="BN212" s="27">
        <v>6</v>
      </c>
      <c r="BO212" s="27">
        <v>12</v>
      </c>
      <c r="BP212" s="27">
        <v>6</v>
      </c>
      <c r="BQ212" s="27">
        <f t="shared" si="64"/>
        <v>432</v>
      </c>
      <c r="BR212" s="27">
        <f t="shared" si="65"/>
        <v>379.04</v>
      </c>
      <c r="BS212" s="297" t="s">
        <v>769</v>
      </c>
      <c r="BT212" s="27" t="s">
        <v>766</v>
      </c>
      <c r="BU212" s="276"/>
      <c r="BV212" s="276"/>
      <c r="BW212" s="276"/>
      <c r="BX212" s="14"/>
      <c r="BY212" s="14"/>
      <c r="BZ212" s="14"/>
      <c r="CA212" s="14"/>
      <c r="CB212" s="14"/>
      <c r="CC212" s="14"/>
      <c r="CD212" s="14"/>
      <c r="CE212" s="14"/>
    </row>
    <row r="213" spans="1:83" s="125" customFormat="1" x14ac:dyDescent="0.25">
      <c r="A213" s="278">
        <v>41760</v>
      </c>
      <c r="B213" s="278"/>
      <c r="C213" s="252" t="s">
        <v>1818</v>
      </c>
      <c r="D213" s="252" t="s">
        <v>735</v>
      </c>
      <c r="E213" s="252" t="s">
        <v>1799</v>
      </c>
      <c r="F213" s="274" t="s">
        <v>1819</v>
      </c>
      <c r="G213" s="250" t="s">
        <v>737</v>
      </c>
      <c r="H213" s="250">
        <v>20862288</v>
      </c>
      <c r="I213" s="250" t="s">
        <v>738</v>
      </c>
      <c r="J213" s="250" t="s">
        <v>1820</v>
      </c>
      <c r="K213" s="41"/>
      <c r="L213" s="50"/>
      <c r="M213" s="275"/>
      <c r="N213" s="275"/>
      <c r="O213" s="275"/>
      <c r="P213" s="275"/>
      <c r="Q213" s="275"/>
      <c r="R213" s="275"/>
      <c r="S213" s="275"/>
      <c r="T213" s="275"/>
      <c r="U213" s="294" t="s">
        <v>1821</v>
      </c>
      <c r="V213" s="294"/>
      <c r="W213" s="41"/>
      <c r="X213" s="294"/>
      <c r="Y213" s="158"/>
      <c r="Z213" s="294"/>
      <c r="AA213" s="158"/>
      <c r="AB213" s="270" t="s">
        <v>1822</v>
      </c>
      <c r="AC213" s="250"/>
      <c r="AD213" s="250"/>
      <c r="AE213" s="250" t="s">
        <v>1823</v>
      </c>
      <c r="AF213" s="250"/>
      <c r="AG213" s="250"/>
      <c r="AH213" s="250"/>
      <c r="AI213" s="250"/>
      <c r="AJ213" s="250"/>
      <c r="AK213" s="261"/>
      <c r="AL213" s="250" t="s">
        <v>1824</v>
      </c>
      <c r="AM213" s="250" t="s">
        <v>1825</v>
      </c>
      <c r="AN213" s="250" t="s">
        <v>1826</v>
      </c>
      <c r="AO213" s="250"/>
      <c r="AP213" s="250" t="s">
        <v>1827</v>
      </c>
      <c r="AQ213" s="250">
        <v>49288</v>
      </c>
      <c r="AR213" s="157">
        <v>31.29</v>
      </c>
      <c r="AS213" s="271" t="s">
        <v>1828</v>
      </c>
      <c r="AT213" s="271" t="s">
        <v>1829</v>
      </c>
      <c r="AU213" s="271"/>
      <c r="AV213" s="271"/>
      <c r="AW213" s="271"/>
      <c r="AX213" s="271"/>
      <c r="AY213" s="271"/>
      <c r="AZ213" s="271"/>
      <c r="BA213" s="113">
        <v>7.7859999999999996</v>
      </c>
      <c r="BB213" s="113">
        <v>2.536</v>
      </c>
      <c r="BC213" s="113">
        <v>12.821999999999999</v>
      </c>
      <c r="BD213" s="111">
        <f>(BC213*BB213*BA213)/1728</f>
        <v>0.14651283872222221</v>
      </c>
      <c r="BE213" s="113">
        <v>0.56999999999999995</v>
      </c>
      <c r="BF213" s="113">
        <v>13.5</v>
      </c>
      <c r="BG213" s="113">
        <v>8.25</v>
      </c>
      <c r="BH213" s="113">
        <v>8.5</v>
      </c>
      <c r="BI213" s="111">
        <f t="shared" si="63"/>
        <v>0.5478515625</v>
      </c>
      <c r="BJ213" s="113">
        <f>BE213*BN213+0.25</f>
        <v>1.96</v>
      </c>
      <c r="BK213" s="341"/>
      <c r="BL213" s="341"/>
      <c r="BM213" s="44" t="s">
        <v>764</v>
      </c>
      <c r="BN213" s="27">
        <v>3</v>
      </c>
      <c r="BO213" s="27">
        <v>14</v>
      </c>
      <c r="BP213" s="27">
        <v>5</v>
      </c>
      <c r="BQ213" s="27">
        <f t="shared" si="64"/>
        <v>210</v>
      </c>
      <c r="BR213" s="27">
        <f t="shared" si="65"/>
        <v>187.2</v>
      </c>
      <c r="BS213" s="297" t="s">
        <v>886</v>
      </c>
      <c r="BT213" s="27" t="s">
        <v>766</v>
      </c>
      <c r="BU213" s="276"/>
      <c r="BV213" s="276"/>
      <c r="BW213" s="276"/>
      <c r="BX213" s="14"/>
      <c r="BY213" s="14"/>
      <c r="BZ213" s="14"/>
      <c r="CA213" s="14"/>
      <c r="CB213" s="14"/>
      <c r="CC213" s="14"/>
      <c r="CD213" s="14"/>
      <c r="CE213" s="14"/>
    </row>
    <row r="214" spans="1:83" s="125" customFormat="1" x14ac:dyDescent="0.25">
      <c r="A214" s="278">
        <v>41760</v>
      </c>
      <c r="B214" s="278"/>
      <c r="C214" s="252" t="s">
        <v>1830</v>
      </c>
      <c r="D214" s="250" t="s">
        <v>718</v>
      </c>
      <c r="E214" s="252" t="s">
        <v>1799</v>
      </c>
      <c r="F214" s="274" t="s">
        <v>1831</v>
      </c>
      <c r="G214" s="261" t="s">
        <v>1832</v>
      </c>
      <c r="H214" s="250">
        <v>8970687830</v>
      </c>
      <c r="I214" s="250"/>
      <c r="J214" s="250"/>
      <c r="K214" s="41"/>
      <c r="L214" s="50"/>
      <c r="M214" s="275"/>
      <c r="N214" s="275"/>
      <c r="O214" s="275"/>
      <c r="P214" s="275"/>
      <c r="Q214" s="275"/>
      <c r="R214" s="275"/>
      <c r="S214" s="275"/>
      <c r="T214" s="275"/>
      <c r="U214" s="294"/>
      <c r="V214" s="294"/>
      <c r="W214" s="41">
        <v>83211</v>
      </c>
      <c r="X214" s="294"/>
      <c r="Y214" s="158"/>
      <c r="Z214" s="294"/>
      <c r="AA214" s="158"/>
      <c r="AB214" s="270" t="s">
        <v>1833</v>
      </c>
      <c r="AC214" s="250"/>
      <c r="AD214" s="250"/>
      <c r="AE214" s="250" t="s">
        <v>1834</v>
      </c>
      <c r="AF214" s="250"/>
      <c r="AG214" s="250"/>
      <c r="AH214" s="250"/>
      <c r="AI214" s="250"/>
      <c r="AJ214" s="250"/>
      <c r="AK214" s="261">
        <v>9211</v>
      </c>
      <c r="AL214" s="250" t="s">
        <v>1835</v>
      </c>
      <c r="AM214" s="250"/>
      <c r="AN214" s="250" t="s">
        <v>1836</v>
      </c>
      <c r="AO214" s="250"/>
      <c r="AP214" s="250" t="s">
        <v>1837</v>
      </c>
      <c r="AQ214" s="250">
        <v>49211</v>
      </c>
      <c r="AR214" s="157">
        <v>19.98</v>
      </c>
      <c r="AS214" s="271" t="s">
        <v>1838</v>
      </c>
      <c r="AT214" s="271" t="s">
        <v>1839</v>
      </c>
      <c r="AU214" s="271"/>
      <c r="AV214" s="271"/>
      <c r="AW214" s="271"/>
      <c r="AX214" s="271"/>
      <c r="AY214" s="271"/>
      <c r="AZ214" s="271"/>
      <c r="BA214" s="113">
        <v>10.036</v>
      </c>
      <c r="BB214" s="113">
        <v>2.536</v>
      </c>
      <c r="BC214" s="113">
        <v>12.571999999999999</v>
      </c>
      <c r="BD214" s="111">
        <f>(BC214*BB214*BA214)/1728</f>
        <v>0.18516996140740738</v>
      </c>
      <c r="BE214" s="113">
        <v>0.88</v>
      </c>
      <c r="BF214" s="113">
        <v>13.25</v>
      </c>
      <c r="BG214" s="113">
        <v>11</v>
      </c>
      <c r="BH214" s="113">
        <v>9</v>
      </c>
      <c r="BI214" s="111">
        <f t="shared" si="63"/>
        <v>0.75911458333333337</v>
      </c>
      <c r="BJ214" s="113">
        <f>BE214*BN214+0.25</f>
        <v>2.89</v>
      </c>
      <c r="BK214" s="341"/>
      <c r="BL214" s="341"/>
      <c r="BM214" s="44" t="s">
        <v>764</v>
      </c>
      <c r="BN214" s="27">
        <v>3</v>
      </c>
      <c r="BO214" s="27">
        <v>12</v>
      </c>
      <c r="BP214" s="27">
        <v>4</v>
      </c>
      <c r="BQ214" s="27">
        <f t="shared" si="64"/>
        <v>144</v>
      </c>
      <c r="BR214" s="27">
        <f t="shared" si="65"/>
        <v>188.72</v>
      </c>
      <c r="BS214" s="27" t="s">
        <v>769</v>
      </c>
      <c r="BT214" s="27" t="s">
        <v>766</v>
      </c>
      <c r="BU214" s="276"/>
      <c r="BV214" s="276"/>
      <c r="BW214" s="276"/>
      <c r="BX214" s="14"/>
      <c r="BY214" s="14"/>
      <c r="BZ214" s="14"/>
      <c r="CA214" s="14"/>
      <c r="CB214" s="14"/>
      <c r="CC214" s="14"/>
      <c r="CD214" s="14"/>
      <c r="CE214" s="14"/>
    </row>
    <row r="215" spans="1:83" s="125" customFormat="1" x14ac:dyDescent="0.25">
      <c r="A215" s="278">
        <v>41760</v>
      </c>
      <c r="B215" s="278"/>
      <c r="C215" s="252" t="s">
        <v>1840</v>
      </c>
      <c r="D215" s="250" t="s">
        <v>718</v>
      </c>
      <c r="E215" s="252" t="s">
        <v>1799</v>
      </c>
      <c r="F215" s="274" t="s">
        <v>1841</v>
      </c>
      <c r="G215" s="250" t="s">
        <v>1007</v>
      </c>
      <c r="H215" s="250" t="s">
        <v>1842</v>
      </c>
      <c r="I215" s="250"/>
      <c r="J215" s="250"/>
      <c r="K215" s="25"/>
      <c r="L215" s="26"/>
      <c r="M215" s="275"/>
      <c r="N215" s="275"/>
      <c r="O215" s="275"/>
      <c r="P215" s="275"/>
      <c r="Q215" s="275"/>
      <c r="R215" s="275"/>
      <c r="S215" s="275"/>
      <c r="T215" s="275"/>
      <c r="U215" s="294"/>
      <c r="V215" s="294"/>
      <c r="W215" s="25">
        <v>83048</v>
      </c>
      <c r="X215" s="294"/>
      <c r="Y215" s="295"/>
      <c r="Z215" s="294"/>
      <c r="AA215" s="295"/>
      <c r="AB215" s="270" t="s">
        <v>1843</v>
      </c>
      <c r="AC215" s="250" t="s">
        <v>1844</v>
      </c>
      <c r="AD215" s="250"/>
      <c r="AE215" s="250" t="s">
        <v>1845</v>
      </c>
      <c r="AF215" s="250"/>
      <c r="AG215" s="250"/>
      <c r="AH215" s="250"/>
      <c r="AI215" s="250"/>
      <c r="AJ215" s="250"/>
      <c r="AK215" s="261">
        <v>9048</v>
      </c>
      <c r="AL215" s="250" t="s">
        <v>1846</v>
      </c>
      <c r="AM215" s="250"/>
      <c r="AN215" s="250" t="s">
        <v>1847</v>
      </c>
      <c r="AO215" s="250"/>
      <c r="AP215" s="250" t="s">
        <v>1848</v>
      </c>
      <c r="AQ215" s="250">
        <v>49048</v>
      </c>
      <c r="AR215" s="157">
        <v>19.78</v>
      </c>
      <c r="AS215" s="271" t="s">
        <v>1849</v>
      </c>
      <c r="AT215" s="271" t="s">
        <v>1850</v>
      </c>
      <c r="AU215" s="271"/>
      <c r="AV215" s="271"/>
      <c r="AW215" s="271"/>
      <c r="AX215" s="271"/>
      <c r="AY215" s="271"/>
      <c r="AZ215" s="271"/>
      <c r="BA215" s="113">
        <v>7.0359999999999996</v>
      </c>
      <c r="BB215" s="113">
        <v>2.6560000000000001</v>
      </c>
      <c r="BC215" s="113">
        <v>15.321999999999999</v>
      </c>
      <c r="BD215" s="111">
        <f>(BC215*BB215*BA215)/1728</f>
        <v>0.16570118770370368</v>
      </c>
      <c r="BE215" s="113">
        <v>0.45</v>
      </c>
      <c r="BF215" s="113">
        <v>15.75</v>
      </c>
      <c r="BG215" s="113">
        <v>7.5</v>
      </c>
      <c r="BH215" s="113">
        <v>8.8800000000000008</v>
      </c>
      <c r="BI215" s="111">
        <f t="shared" si="63"/>
        <v>0.60703125000000002</v>
      </c>
      <c r="BJ215" s="113">
        <f>BE215*BN215+0.25</f>
        <v>1.6</v>
      </c>
      <c r="BK215" s="341"/>
      <c r="BL215" s="341"/>
      <c r="BM215" s="124" t="s">
        <v>764</v>
      </c>
      <c r="BN215" s="27">
        <v>3</v>
      </c>
      <c r="BO215" s="27">
        <v>15</v>
      </c>
      <c r="BP215" s="27">
        <v>5</v>
      </c>
      <c r="BQ215" s="27">
        <f t="shared" si="64"/>
        <v>225</v>
      </c>
      <c r="BR215" s="27">
        <f t="shared" si="65"/>
        <v>170</v>
      </c>
      <c r="BS215" s="27" t="s">
        <v>886</v>
      </c>
      <c r="BT215" s="27" t="s">
        <v>766</v>
      </c>
      <c r="BU215" s="276"/>
      <c r="BV215" s="276"/>
      <c r="BW215" s="276"/>
      <c r="BX215" s="14"/>
      <c r="BY215" s="14"/>
      <c r="BZ215" s="14"/>
      <c r="CA215" s="14"/>
      <c r="CB215" s="14"/>
      <c r="CC215" s="14"/>
      <c r="CD215" s="14"/>
      <c r="CE215" s="14"/>
    </row>
    <row r="216" spans="1:83" s="125" customFormat="1" x14ac:dyDescent="0.25">
      <c r="A216" s="278">
        <v>41730</v>
      </c>
      <c r="B216" s="278"/>
      <c r="C216" s="250" t="s">
        <v>1851</v>
      </c>
      <c r="D216" s="250" t="s">
        <v>60</v>
      </c>
      <c r="E216" s="252" t="s">
        <v>1784</v>
      </c>
      <c r="F216" s="274" t="s">
        <v>1852</v>
      </c>
      <c r="G216" s="250" t="s">
        <v>836</v>
      </c>
      <c r="H216" s="250" t="s">
        <v>1853</v>
      </c>
      <c r="I216" s="250" t="s">
        <v>980</v>
      </c>
      <c r="J216" s="250" t="s">
        <v>1854</v>
      </c>
      <c r="K216" s="250"/>
      <c r="L216" s="250"/>
      <c r="M216" s="250"/>
      <c r="N216" s="250"/>
      <c r="O216" s="250"/>
      <c r="P216" s="250"/>
      <c r="Q216" s="275"/>
      <c r="R216" s="275"/>
      <c r="S216" s="275"/>
      <c r="T216" s="275"/>
      <c r="U216" s="294" t="s">
        <v>1855</v>
      </c>
      <c r="V216" s="294"/>
      <c r="W216" s="25"/>
      <c r="X216" s="294"/>
      <c r="Y216" s="295" t="s">
        <v>1856</v>
      </c>
      <c r="Z216" s="294"/>
      <c r="AA216" s="295" t="s">
        <v>1857</v>
      </c>
      <c r="AB216" s="270"/>
      <c r="AC216" s="250"/>
      <c r="AD216" s="250"/>
      <c r="AE216" s="250"/>
      <c r="AF216" s="250"/>
      <c r="AG216" s="250"/>
      <c r="AH216" s="250"/>
      <c r="AI216" s="250"/>
      <c r="AJ216" s="250"/>
      <c r="AK216" s="261"/>
      <c r="AL216" s="250"/>
      <c r="AM216" s="250"/>
      <c r="AN216" s="250"/>
      <c r="AO216" s="250"/>
      <c r="AP216" s="250"/>
      <c r="AQ216" s="250"/>
      <c r="AR216" s="157">
        <v>319.89</v>
      </c>
      <c r="AS216" s="282" t="s">
        <v>1858</v>
      </c>
      <c r="AT216" s="282" t="s">
        <v>1859</v>
      </c>
      <c r="AU216" s="282"/>
      <c r="AV216" s="282"/>
      <c r="AW216" s="282"/>
      <c r="AX216" s="282"/>
      <c r="AY216" s="282"/>
      <c r="AZ216" s="282"/>
      <c r="BA216" s="399" t="s">
        <v>985</v>
      </c>
      <c r="BB216" s="399"/>
      <c r="BC216" s="399"/>
      <c r="BD216" s="399"/>
      <c r="BE216" s="399"/>
      <c r="BF216" s="113">
        <v>21.25</v>
      </c>
      <c r="BG216" s="113">
        <v>5.25</v>
      </c>
      <c r="BH216" s="113">
        <v>7.12</v>
      </c>
      <c r="BI216" s="111">
        <f t="shared" si="63"/>
        <v>0.4596788194444445</v>
      </c>
      <c r="BJ216" s="113">
        <v>5.4</v>
      </c>
      <c r="BK216" s="341"/>
      <c r="BL216" s="341"/>
      <c r="BM216" s="124" t="s">
        <v>764</v>
      </c>
      <c r="BN216" s="27">
        <v>1</v>
      </c>
      <c r="BO216" s="27">
        <v>45</v>
      </c>
      <c r="BP216" s="27">
        <v>2</v>
      </c>
      <c r="BQ216" s="27">
        <f t="shared" si="64"/>
        <v>90</v>
      </c>
      <c r="BR216" s="27">
        <f t="shared" si="65"/>
        <v>536</v>
      </c>
      <c r="BS216" s="293" t="s">
        <v>886</v>
      </c>
      <c r="BT216" s="27" t="s">
        <v>766</v>
      </c>
      <c r="BU216" s="276"/>
      <c r="BV216" s="276"/>
      <c r="BW216" s="276"/>
      <c r="BX216" s="14"/>
      <c r="BY216" s="14"/>
      <c r="BZ216" s="14"/>
      <c r="CA216" s="14"/>
      <c r="CB216" s="14"/>
      <c r="CC216" s="14"/>
      <c r="CD216" s="14"/>
      <c r="CE216" s="14"/>
    </row>
    <row r="217" spans="1:83" s="125" customFormat="1" x14ac:dyDescent="0.25">
      <c r="A217" s="278">
        <v>41730</v>
      </c>
      <c r="B217" s="278"/>
      <c r="C217" s="250" t="s">
        <v>1860</v>
      </c>
      <c r="D217" s="250" t="s">
        <v>735</v>
      </c>
      <c r="E217" s="252" t="s">
        <v>1861</v>
      </c>
      <c r="F217" s="274" t="s">
        <v>1862</v>
      </c>
      <c r="G217" s="250" t="s">
        <v>1863</v>
      </c>
      <c r="H217" s="250" t="s">
        <v>1864</v>
      </c>
      <c r="I217" s="201" t="s">
        <v>1533</v>
      </c>
      <c r="J217" s="25" t="s">
        <v>1865</v>
      </c>
      <c r="K217" s="25"/>
      <c r="L217" s="26"/>
      <c r="M217" s="275"/>
      <c r="N217" s="275"/>
      <c r="O217" s="275"/>
      <c r="P217" s="275"/>
      <c r="Q217" s="275"/>
      <c r="R217" s="275"/>
      <c r="S217" s="275"/>
      <c r="T217" s="275"/>
      <c r="U217" s="294"/>
      <c r="V217" s="294"/>
      <c r="W217" s="25">
        <v>84262</v>
      </c>
      <c r="X217" s="294"/>
      <c r="Y217" s="295"/>
      <c r="Z217" s="294"/>
      <c r="AA217" s="295"/>
      <c r="AB217" s="270" t="s">
        <v>1866</v>
      </c>
      <c r="AC217" s="250" t="s">
        <v>1867</v>
      </c>
      <c r="AD217" s="250" t="s">
        <v>1868</v>
      </c>
      <c r="AE217" s="250"/>
      <c r="AF217" s="250"/>
      <c r="AG217" s="250"/>
      <c r="AH217" s="250" t="s">
        <v>1869</v>
      </c>
      <c r="AI217" s="250"/>
      <c r="AJ217" s="250"/>
      <c r="AK217" s="261">
        <v>7262</v>
      </c>
      <c r="AL217" s="250" t="s">
        <v>1870</v>
      </c>
      <c r="AM217" s="250"/>
      <c r="AN217" s="250" t="s">
        <v>1871</v>
      </c>
      <c r="AO217" s="250"/>
      <c r="AP217" s="250" t="s">
        <v>1872</v>
      </c>
      <c r="AQ217" s="250">
        <v>57262</v>
      </c>
      <c r="AR217" s="157">
        <v>16.87</v>
      </c>
      <c r="AS217" s="271" t="s">
        <v>1873</v>
      </c>
      <c r="AT217" s="271" t="s">
        <v>1874</v>
      </c>
      <c r="AU217" s="271"/>
      <c r="AV217" s="271"/>
      <c r="AW217" s="271"/>
      <c r="AX217" s="271"/>
      <c r="AY217" s="271"/>
      <c r="AZ217" s="271"/>
      <c r="BA217" s="113">
        <v>3.8479999999999999</v>
      </c>
      <c r="BB217" s="113">
        <v>3.8479999999999999</v>
      </c>
      <c r="BC217" s="113">
        <v>4.4470000000000001</v>
      </c>
      <c r="BD217" s="111">
        <f t="shared" ref="BD217:BD218" si="66">(BC217*BB217*BA217)/1728</f>
        <v>3.8106013592592587E-2</v>
      </c>
      <c r="BE217" s="113">
        <v>0.4</v>
      </c>
      <c r="BF217" s="113">
        <v>11.936999999999999</v>
      </c>
      <c r="BG217" s="113">
        <v>8</v>
      </c>
      <c r="BH217" s="113">
        <v>5</v>
      </c>
      <c r="BI217" s="111">
        <f t="shared" si="63"/>
        <v>0.2763194444444444</v>
      </c>
      <c r="BJ217" s="113">
        <f>BE217*BN217+0.25</f>
        <v>2.6500000000000004</v>
      </c>
      <c r="BK217" s="341"/>
      <c r="BL217" s="341"/>
      <c r="BM217" s="44" t="s">
        <v>764</v>
      </c>
      <c r="BN217" s="27">
        <v>6</v>
      </c>
      <c r="BO217" s="27">
        <v>20</v>
      </c>
      <c r="BP217" s="27">
        <v>9</v>
      </c>
      <c r="BQ217" s="27">
        <f t="shared" si="64"/>
        <v>1080</v>
      </c>
      <c r="BR217" s="27">
        <f t="shared" si="65"/>
        <v>527</v>
      </c>
      <c r="BS217" s="297" t="s">
        <v>886</v>
      </c>
      <c r="BT217" s="27" t="s">
        <v>766</v>
      </c>
      <c r="BU217" s="276"/>
      <c r="BV217" s="276"/>
      <c r="BW217" s="276"/>
      <c r="BX217" s="14"/>
      <c r="BY217" s="14"/>
      <c r="BZ217" s="14"/>
      <c r="CA217" s="14"/>
      <c r="CB217" s="14"/>
      <c r="CC217" s="14"/>
      <c r="CD217" s="14"/>
      <c r="CE217" s="14"/>
    </row>
    <row r="218" spans="1:83" s="125" customFormat="1" x14ac:dyDescent="0.25">
      <c r="A218" s="278">
        <v>41730</v>
      </c>
      <c r="B218" s="278"/>
      <c r="C218" s="250" t="s">
        <v>1875</v>
      </c>
      <c r="D218" s="250" t="s">
        <v>735</v>
      </c>
      <c r="E218" s="252" t="s">
        <v>1861</v>
      </c>
      <c r="F218" s="274" t="s">
        <v>1876</v>
      </c>
      <c r="G218" s="250" t="s">
        <v>754</v>
      </c>
      <c r="H218" s="250">
        <v>11427583220</v>
      </c>
      <c r="I218" s="201" t="s">
        <v>1533</v>
      </c>
      <c r="J218" s="25" t="s">
        <v>1877</v>
      </c>
      <c r="K218" s="25"/>
      <c r="L218" s="26"/>
      <c r="M218" s="275"/>
      <c r="N218" s="275"/>
      <c r="O218" s="275"/>
      <c r="P218" s="275"/>
      <c r="Q218" s="275"/>
      <c r="R218" s="275"/>
      <c r="S218" s="275"/>
      <c r="T218" s="275"/>
      <c r="U218" s="294"/>
      <c r="V218" s="294"/>
      <c r="W218" s="25">
        <v>84189</v>
      </c>
      <c r="X218" s="294"/>
      <c r="Y218" s="295"/>
      <c r="Z218" s="294"/>
      <c r="AA218" s="295"/>
      <c r="AB218" s="270" t="s">
        <v>1878</v>
      </c>
      <c r="AC218" s="250" t="s">
        <v>1879</v>
      </c>
      <c r="AD218" s="250"/>
      <c r="AE218" s="250"/>
      <c r="AF218" s="250"/>
      <c r="AG218" s="250"/>
      <c r="AH218" s="250" t="s">
        <v>1880</v>
      </c>
      <c r="AI218" s="250"/>
      <c r="AJ218" s="250"/>
      <c r="AK218" s="261">
        <v>7189</v>
      </c>
      <c r="AL218" s="250" t="s">
        <v>1881</v>
      </c>
      <c r="AM218" s="250" t="s">
        <v>1882</v>
      </c>
      <c r="AN218" s="250" t="s">
        <v>1883</v>
      </c>
      <c r="AO218" s="250"/>
      <c r="AP218" s="250" t="s">
        <v>1884</v>
      </c>
      <c r="AQ218" s="250">
        <v>57189</v>
      </c>
      <c r="AR218" s="157">
        <v>34.04</v>
      </c>
      <c r="AS218" s="271" t="s">
        <v>1885</v>
      </c>
      <c r="AT218" s="271" t="s">
        <v>1886</v>
      </c>
      <c r="AU218" s="271"/>
      <c r="AV218" s="271"/>
      <c r="AW218" s="271"/>
      <c r="AX218" s="271"/>
      <c r="AY218" s="271"/>
      <c r="AZ218" s="271"/>
      <c r="BA218" s="113">
        <v>3.1859999999999999</v>
      </c>
      <c r="BB218" s="113">
        <v>3.1920000000000002</v>
      </c>
      <c r="BC218" s="113">
        <v>4.9420000000000002</v>
      </c>
      <c r="BD218" s="111">
        <f t="shared" si="66"/>
        <v>2.9084905500000001E-2</v>
      </c>
      <c r="BE218" s="113">
        <v>0.31</v>
      </c>
      <c r="BF218" s="113">
        <v>10</v>
      </c>
      <c r="BG218" s="113">
        <v>6.75</v>
      </c>
      <c r="BH218" s="113">
        <v>5.5</v>
      </c>
      <c r="BI218" s="111">
        <f t="shared" si="63"/>
        <v>0.21484375</v>
      </c>
      <c r="BJ218" s="113">
        <f>BE218*BN218+0.25</f>
        <v>2.11</v>
      </c>
      <c r="BK218" s="341"/>
      <c r="BL218" s="341"/>
      <c r="BM218" s="44" t="s">
        <v>764</v>
      </c>
      <c r="BN218" s="27">
        <v>6</v>
      </c>
      <c r="BO218" s="27">
        <v>26</v>
      </c>
      <c r="BP218" s="27">
        <v>8</v>
      </c>
      <c r="BQ218" s="27">
        <f t="shared" si="64"/>
        <v>1248</v>
      </c>
      <c r="BR218" s="27">
        <f t="shared" si="65"/>
        <v>488.88</v>
      </c>
      <c r="BS218" s="297" t="s">
        <v>886</v>
      </c>
      <c r="BT218" s="27" t="s">
        <v>766</v>
      </c>
      <c r="BU218" s="276"/>
      <c r="BV218" s="276"/>
      <c r="BW218" s="276"/>
      <c r="BX218" s="14"/>
      <c r="BY218" s="14"/>
      <c r="BZ218" s="14"/>
      <c r="CA218" s="14"/>
      <c r="CB218" s="14"/>
      <c r="CC218" s="14"/>
      <c r="CD218" s="14"/>
      <c r="CE218" s="14"/>
    </row>
    <row r="219" spans="1:83" s="125" customFormat="1" x14ac:dyDescent="0.25">
      <c r="A219" s="278">
        <v>41730</v>
      </c>
      <c r="B219" s="278"/>
      <c r="C219" s="250" t="s">
        <v>1813</v>
      </c>
      <c r="D219" s="250" t="s">
        <v>735</v>
      </c>
      <c r="E219" s="252" t="s">
        <v>1887</v>
      </c>
      <c r="F219" s="250" t="s">
        <v>1888</v>
      </c>
      <c r="G219" s="250" t="s">
        <v>737</v>
      </c>
      <c r="H219" s="250">
        <v>92234714</v>
      </c>
      <c r="I219" s="201" t="s">
        <v>1889</v>
      </c>
      <c r="J219" s="25" t="s">
        <v>1811</v>
      </c>
      <c r="K219" s="25"/>
      <c r="L219" s="26"/>
      <c r="M219" s="275"/>
      <c r="N219" s="275"/>
      <c r="O219" s="275"/>
      <c r="P219" s="275"/>
      <c r="Q219" s="275"/>
      <c r="R219" s="275"/>
      <c r="S219" s="275"/>
      <c r="T219" s="275"/>
      <c r="U219" s="294"/>
      <c r="V219" s="294"/>
      <c r="W219" s="25">
        <v>89014</v>
      </c>
      <c r="X219" s="294"/>
      <c r="Y219" s="295"/>
      <c r="Z219" s="294"/>
      <c r="AA219" s="295"/>
      <c r="AB219" s="270" t="s">
        <v>1812</v>
      </c>
      <c r="AC219" s="250" t="s">
        <v>1890</v>
      </c>
      <c r="AD219" s="250"/>
      <c r="AE219" s="250"/>
      <c r="AF219" s="250"/>
      <c r="AG219" s="250"/>
      <c r="AH219" s="250"/>
      <c r="AI219" s="250"/>
      <c r="AJ219" s="250"/>
      <c r="AK219" s="261">
        <v>4014</v>
      </c>
      <c r="AL219" s="250" t="s">
        <v>1814</v>
      </c>
      <c r="AM219" s="250" t="s">
        <v>1813</v>
      </c>
      <c r="AN219" s="250" t="s">
        <v>1814</v>
      </c>
      <c r="AO219" s="250"/>
      <c r="AP219" s="250" t="s">
        <v>1815</v>
      </c>
      <c r="AQ219" s="250">
        <v>24014</v>
      </c>
      <c r="AR219" s="157">
        <v>29.69</v>
      </c>
      <c r="AS219" s="271" t="s">
        <v>1891</v>
      </c>
      <c r="AT219" s="271" t="s">
        <v>1892</v>
      </c>
      <c r="AU219" s="271"/>
      <c r="AV219" s="271"/>
      <c r="AW219" s="271"/>
      <c r="AX219" s="271"/>
      <c r="AY219" s="271"/>
      <c r="AZ219" s="271"/>
      <c r="BA219" s="397" t="s">
        <v>1505</v>
      </c>
      <c r="BB219" s="397"/>
      <c r="BC219" s="397"/>
      <c r="BD219" s="397"/>
      <c r="BE219" s="397"/>
      <c r="BF219" s="113">
        <v>12</v>
      </c>
      <c r="BG219" s="113">
        <v>10.37</v>
      </c>
      <c r="BH219" s="113">
        <v>10.62</v>
      </c>
      <c r="BI219" s="111">
        <f t="shared" si="63"/>
        <v>0.76478749999999995</v>
      </c>
      <c r="BJ219" s="113">
        <f>0.83*BN219+0.25</f>
        <v>5.2299999999999995</v>
      </c>
      <c r="BK219" s="341"/>
      <c r="BL219" s="341"/>
      <c r="BM219" s="44" t="s">
        <v>764</v>
      </c>
      <c r="BN219" s="27">
        <v>6</v>
      </c>
      <c r="BO219" s="27">
        <v>12</v>
      </c>
      <c r="BP219" s="27">
        <v>4</v>
      </c>
      <c r="BQ219" s="27">
        <f t="shared" si="64"/>
        <v>288</v>
      </c>
      <c r="BR219" s="27">
        <f t="shared" si="65"/>
        <v>301.03999999999996</v>
      </c>
      <c r="BS219" s="297" t="s">
        <v>886</v>
      </c>
      <c r="BT219" s="27" t="s">
        <v>766</v>
      </c>
      <c r="BU219" s="276"/>
      <c r="BV219" s="276"/>
      <c r="BW219" s="276"/>
      <c r="BX219" s="14"/>
      <c r="BY219" s="14"/>
      <c r="BZ219" s="14"/>
      <c r="CA219" s="14"/>
      <c r="CB219" s="14"/>
      <c r="CC219" s="14"/>
      <c r="CD219" s="14"/>
      <c r="CE219" s="14"/>
    </row>
    <row r="220" spans="1:83" s="125" customFormat="1" x14ac:dyDescent="0.25">
      <c r="A220" s="278">
        <v>41730</v>
      </c>
      <c r="B220" s="278"/>
      <c r="C220" s="250" t="s">
        <v>1893</v>
      </c>
      <c r="D220" s="250" t="s">
        <v>735</v>
      </c>
      <c r="E220" s="252" t="s">
        <v>1887</v>
      </c>
      <c r="F220" s="250" t="s">
        <v>1894</v>
      </c>
      <c r="G220" s="261" t="s">
        <v>1257</v>
      </c>
      <c r="H220" s="250" t="s">
        <v>1895</v>
      </c>
      <c r="I220" s="201"/>
      <c r="J220" s="25"/>
      <c r="K220" s="201"/>
      <c r="L220" s="25"/>
      <c r="M220" s="25"/>
      <c r="N220" s="250"/>
      <c r="O220" s="250"/>
      <c r="P220" s="250"/>
      <c r="Q220" s="275"/>
      <c r="R220" s="275"/>
      <c r="S220" s="275"/>
      <c r="T220" s="275"/>
      <c r="U220" s="294"/>
      <c r="V220" s="294"/>
      <c r="W220" s="25"/>
      <c r="X220" s="294"/>
      <c r="Y220" s="295"/>
      <c r="Z220" s="294"/>
      <c r="AA220" s="295"/>
      <c r="AB220" s="270" t="s">
        <v>1896</v>
      </c>
      <c r="AC220" s="250"/>
      <c r="AD220" s="250"/>
      <c r="AE220" s="250"/>
      <c r="AF220" s="250"/>
      <c r="AG220" s="250"/>
      <c r="AH220" s="250"/>
      <c r="AI220" s="250"/>
      <c r="AJ220" s="250"/>
      <c r="AK220" s="261"/>
      <c r="AL220" s="250" t="s">
        <v>1897</v>
      </c>
      <c r="AM220" s="250" t="s">
        <v>1893</v>
      </c>
      <c r="AN220" s="250" t="s">
        <v>1897</v>
      </c>
      <c r="AO220" s="250"/>
      <c r="AP220" s="250" t="s">
        <v>1898</v>
      </c>
      <c r="AQ220" s="250">
        <v>24600</v>
      </c>
      <c r="AR220" s="157">
        <v>19.21</v>
      </c>
      <c r="AS220" s="271" t="s">
        <v>1899</v>
      </c>
      <c r="AT220" s="271" t="s">
        <v>1900</v>
      </c>
      <c r="AU220" s="271"/>
      <c r="AV220" s="271"/>
      <c r="AW220" s="271"/>
      <c r="AX220" s="271"/>
      <c r="AY220" s="271"/>
      <c r="AZ220" s="271"/>
      <c r="BA220" s="397" t="s">
        <v>1505</v>
      </c>
      <c r="BB220" s="397"/>
      <c r="BC220" s="397"/>
      <c r="BD220" s="397"/>
      <c r="BE220" s="397"/>
      <c r="BF220" s="113">
        <v>11</v>
      </c>
      <c r="BG220" s="113">
        <v>8</v>
      </c>
      <c r="BH220" s="113">
        <v>8.6199999999999992</v>
      </c>
      <c r="BI220" s="111">
        <f t="shared" si="63"/>
        <v>0.43898148148148147</v>
      </c>
      <c r="BJ220" s="113">
        <f>0.06*BN220+0.4</f>
        <v>0.76</v>
      </c>
      <c r="BK220" s="341"/>
      <c r="BL220" s="341"/>
      <c r="BM220" s="44" t="s">
        <v>764</v>
      </c>
      <c r="BN220" s="27">
        <v>6</v>
      </c>
      <c r="BO220" s="27">
        <v>20</v>
      </c>
      <c r="BP220" s="27">
        <v>4</v>
      </c>
      <c r="BQ220" s="27">
        <f t="shared" si="64"/>
        <v>480</v>
      </c>
      <c r="BR220" s="27">
        <f t="shared" si="65"/>
        <v>110.8</v>
      </c>
      <c r="BS220" s="297" t="s">
        <v>886</v>
      </c>
      <c r="BT220" s="27" t="s">
        <v>766</v>
      </c>
      <c r="BU220" s="276"/>
      <c r="BV220" s="276"/>
      <c r="BW220" s="276"/>
      <c r="BX220" s="14"/>
      <c r="BY220" s="14"/>
      <c r="BZ220" s="14"/>
      <c r="CA220" s="14"/>
      <c r="CB220" s="14"/>
      <c r="CC220" s="14"/>
      <c r="CD220" s="14"/>
      <c r="CE220" s="14"/>
    </row>
    <row r="221" spans="1:83" s="125" customFormat="1" x14ac:dyDescent="0.25">
      <c r="A221" s="278">
        <v>41730</v>
      </c>
      <c r="B221" s="278"/>
      <c r="C221" s="250" t="s">
        <v>1901</v>
      </c>
      <c r="D221" s="250" t="s">
        <v>735</v>
      </c>
      <c r="E221" s="252" t="s">
        <v>1887</v>
      </c>
      <c r="F221" s="250" t="s">
        <v>1902</v>
      </c>
      <c r="G221" s="261" t="s">
        <v>923</v>
      </c>
      <c r="H221" s="250" t="s">
        <v>1903</v>
      </c>
      <c r="I221" s="201"/>
      <c r="J221" s="25"/>
      <c r="K221" s="201"/>
      <c r="L221" s="25"/>
      <c r="M221" s="25"/>
      <c r="N221" s="250"/>
      <c r="O221" s="250"/>
      <c r="P221" s="250"/>
      <c r="Q221" s="275"/>
      <c r="R221" s="275"/>
      <c r="S221" s="275"/>
      <c r="T221" s="275"/>
      <c r="U221" s="294"/>
      <c r="V221" s="294"/>
      <c r="W221" s="25"/>
      <c r="X221" s="294"/>
      <c r="Y221" s="295"/>
      <c r="Z221" s="294"/>
      <c r="AA221" s="295"/>
      <c r="AB221" s="270" t="s">
        <v>1904</v>
      </c>
      <c r="AC221" s="250"/>
      <c r="AD221" s="250"/>
      <c r="AE221" s="250"/>
      <c r="AF221" s="250"/>
      <c r="AG221" s="250"/>
      <c r="AH221" s="250"/>
      <c r="AI221" s="250"/>
      <c r="AJ221" s="250"/>
      <c r="AK221" s="261"/>
      <c r="AL221" s="250" t="s">
        <v>1905</v>
      </c>
      <c r="AM221" s="250" t="s">
        <v>1901</v>
      </c>
      <c r="AN221" s="250" t="s">
        <v>1905</v>
      </c>
      <c r="AO221" s="250"/>
      <c r="AP221" s="250" t="s">
        <v>1906</v>
      </c>
      <c r="AQ221" s="250">
        <v>24579</v>
      </c>
      <c r="AR221" s="157">
        <v>13.15</v>
      </c>
      <c r="AS221" s="271" t="s">
        <v>1907</v>
      </c>
      <c r="AT221" s="271" t="s">
        <v>1908</v>
      </c>
      <c r="AU221" s="271"/>
      <c r="AV221" s="271"/>
      <c r="AW221" s="271"/>
      <c r="AX221" s="271"/>
      <c r="AY221" s="271"/>
      <c r="AZ221" s="271"/>
      <c r="BA221" s="397" t="s">
        <v>1505</v>
      </c>
      <c r="BB221" s="397"/>
      <c r="BC221" s="397"/>
      <c r="BD221" s="397"/>
      <c r="BE221" s="397"/>
      <c r="BF221" s="113">
        <v>11</v>
      </c>
      <c r="BG221" s="113">
        <v>8</v>
      </c>
      <c r="BH221" s="113">
        <v>9.25</v>
      </c>
      <c r="BI221" s="111">
        <f t="shared" si="63"/>
        <v>0.47106481481481483</v>
      </c>
      <c r="BJ221" s="113">
        <f>0.08*BN221+0.4</f>
        <v>0.88</v>
      </c>
      <c r="BK221" s="341"/>
      <c r="BL221" s="341"/>
      <c r="BM221" s="44" t="s">
        <v>764</v>
      </c>
      <c r="BN221" s="27">
        <v>6</v>
      </c>
      <c r="BO221" s="27">
        <v>18</v>
      </c>
      <c r="BP221" s="27">
        <v>4</v>
      </c>
      <c r="BQ221" s="27">
        <f t="shared" si="64"/>
        <v>432</v>
      </c>
      <c r="BR221" s="27">
        <f t="shared" si="65"/>
        <v>113.36</v>
      </c>
      <c r="BS221" s="297" t="s">
        <v>886</v>
      </c>
      <c r="BT221" s="27" t="s">
        <v>766</v>
      </c>
      <c r="BU221" s="276"/>
      <c r="BV221" s="276"/>
      <c r="BW221" s="276"/>
      <c r="BX221" s="14"/>
      <c r="BY221" s="14"/>
      <c r="BZ221" s="14"/>
      <c r="CA221" s="14"/>
      <c r="CB221" s="14"/>
      <c r="CC221" s="14"/>
      <c r="CD221" s="14"/>
      <c r="CE221" s="14"/>
    </row>
    <row r="222" spans="1:83" s="125" customFormat="1" x14ac:dyDescent="0.25">
      <c r="A222" s="278">
        <v>41730</v>
      </c>
      <c r="B222" s="278"/>
      <c r="C222" s="250" t="s">
        <v>1909</v>
      </c>
      <c r="D222" s="250" t="s">
        <v>735</v>
      </c>
      <c r="E222" s="252" t="s">
        <v>1887</v>
      </c>
      <c r="F222" s="158" t="s">
        <v>1910</v>
      </c>
      <c r="G222" s="261" t="s">
        <v>899</v>
      </c>
      <c r="H222" s="250" t="s">
        <v>1911</v>
      </c>
      <c r="I222" s="201"/>
      <c r="J222" s="25"/>
      <c r="K222" s="201"/>
      <c r="L222" s="25"/>
      <c r="M222" s="25"/>
      <c r="N222" s="250"/>
      <c r="O222" s="250"/>
      <c r="P222" s="250"/>
      <c r="Q222" s="275"/>
      <c r="R222" s="275"/>
      <c r="S222" s="275"/>
      <c r="T222" s="275"/>
      <c r="U222" s="294"/>
      <c r="V222" s="294"/>
      <c r="W222" s="25"/>
      <c r="X222" s="294"/>
      <c r="Y222" s="295"/>
      <c r="Z222" s="294"/>
      <c r="AA222" s="295"/>
      <c r="AB222" s="270" t="s">
        <v>1912</v>
      </c>
      <c r="AC222" s="250"/>
      <c r="AD222" s="250"/>
      <c r="AE222" s="250"/>
      <c r="AF222" s="250"/>
      <c r="AG222" s="250"/>
      <c r="AH222" s="250"/>
      <c r="AI222" s="250"/>
      <c r="AJ222" s="250"/>
      <c r="AK222" s="261"/>
      <c r="AL222" s="250" t="s">
        <v>1913</v>
      </c>
      <c r="AM222" s="250" t="s">
        <v>1909</v>
      </c>
      <c r="AN222" s="250" t="s">
        <v>1913</v>
      </c>
      <c r="AO222" s="250"/>
      <c r="AP222" s="250" t="s">
        <v>1914</v>
      </c>
      <c r="AQ222" s="250">
        <v>24761</v>
      </c>
      <c r="AR222" s="157">
        <v>28.2</v>
      </c>
      <c r="AS222" s="271" t="s">
        <v>1915</v>
      </c>
      <c r="AT222" s="271" t="s">
        <v>1916</v>
      </c>
      <c r="AU222" s="271"/>
      <c r="AV222" s="271"/>
      <c r="AW222" s="271"/>
      <c r="AX222" s="271"/>
      <c r="AY222" s="271"/>
      <c r="AZ222" s="271"/>
      <c r="BA222" s="397" t="s">
        <v>1505</v>
      </c>
      <c r="BB222" s="397"/>
      <c r="BC222" s="397"/>
      <c r="BD222" s="397"/>
      <c r="BE222" s="397"/>
      <c r="BF222" s="113">
        <v>10.5</v>
      </c>
      <c r="BG222" s="113">
        <v>8.75</v>
      </c>
      <c r="BH222" s="113">
        <v>9.75</v>
      </c>
      <c r="BI222" s="111">
        <f>(BH222*BG222*BF222)/1728</f>
        <v>0.51839192708333337</v>
      </c>
      <c r="BJ222" s="113">
        <f>0.07*BN222+0.4</f>
        <v>0.82000000000000006</v>
      </c>
      <c r="BK222" s="341"/>
      <c r="BL222" s="341"/>
      <c r="BM222" s="44" t="s">
        <v>764</v>
      </c>
      <c r="BN222" s="27">
        <v>6</v>
      </c>
      <c r="BO222" s="27">
        <v>18</v>
      </c>
      <c r="BP222" s="27">
        <v>4</v>
      </c>
      <c r="BQ222" s="27">
        <f>BN222*BO222*BP222</f>
        <v>432</v>
      </c>
      <c r="BR222" s="27">
        <f>(BJ222*BO222*BP222)+50</f>
        <v>109.04</v>
      </c>
      <c r="BS222" s="297" t="s">
        <v>886</v>
      </c>
      <c r="BT222" s="27" t="s">
        <v>766</v>
      </c>
      <c r="BU222" s="276"/>
      <c r="BV222" s="276"/>
      <c r="BW222" s="276"/>
      <c r="BX222" s="14"/>
      <c r="BY222" s="14"/>
      <c r="BZ222" s="14"/>
      <c r="CA222" s="14"/>
      <c r="CB222" s="14"/>
      <c r="CC222" s="14"/>
      <c r="CD222" s="14"/>
      <c r="CE222" s="14"/>
    </row>
    <row r="223" spans="1:83" s="125" customFormat="1" x14ac:dyDescent="0.25">
      <c r="A223" s="278">
        <v>41713</v>
      </c>
      <c r="B223" s="278"/>
      <c r="C223" s="251" t="s">
        <v>1917</v>
      </c>
      <c r="D223" s="250" t="s">
        <v>735</v>
      </c>
      <c r="E223" s="296" t="s">
        <v>1887</v>
      </c>
      <c r="F223" s="274" t="s">
        <v>1918</v>
      </c>
      <c r="G223" s="261" t="s">
        <v>737</v>
      </c>
      <c r="H223" s="274">
        <v>20958479</v>
      </c>
      <c r="I223" s="201" t="s">
        <v>738</v>
      </c>
      <c r="J223" s="25" t="s">
        <v>1919</v>
      </c>
      <c r="K223" s="25"/>
      <c r="L223" s="26"/>
      <c r="M223" s="275"/>
      <c r="N223" s="275"/>
      <c r="O223" s="275"/>
      <c r="P223" s="275"/>
      <c r="Q223" s="275"/>
      <c r="R223" s="275"/>
      <c r="S223" s="275"/>
      <c r="T223" s="275"/>
      <c r="U223" s="294"/>
      <c r="V223" s="294"/>
      <c r="W223" s="25"/>
      <c r="X223" s="294"/>
      <c r="Y223" s="295"/>
      <c r="Z223" s="294"/>
      <c r="AA223" s="295"/>
      <c r="AB223" s="25" t="s">
        <v>1920</v>
      </c>
      <c r="AC223" s="250"/>
      <c r="AD223" s="250"/>
      <c r="AE223" s="250"/>
      <c r="AF223" s="250"/>
      <c r="AG223" s="250"/>
      <c r="AH223" s="250"/>
      <c r="AI223" s="250"/>
      <c r="AJ223" s="250"/>
      <c r="AK223" s="261"/>
      <c r="AL223" s="250" t="s">
        <v>1921</v>
      </c>
      <c r="AM223" s="250"/>
      <c r="AN223" s="250" t="s">
        <v>1922</v>
      </c>
      <c r="AO223" s="250"/>
      <c r="AP223" s="250" t="s">
        <v>1923</v>
      </c>
      <c r="AQ223" s="250" t="s">
        <v>1924</v>
      </c>
      <c r="AR223" s="157">
        <v>24.28</v>
      </c>
      <c r="AS223" s="282" t="s">
        <v>1925</v>
      </c>
      <c r="AT223" s="282" t="s">
        <v>1926</v>
      </c>
      <c r="AU223" s="282"/>
      <c r="AV223" s="282"/>
      <c r="AW223" s="282"/>
      <c r="AX223" s="282"/>
      <c r="AY223" s="282"/>
      <c r="AZ223" s="282"/>
      <c r="BA223" s="397" t="s">
        <v>1505</v>
      </c>
      <c r="BB223" s="397"/>
      <c r="BC223" s="397"/>
      <c r="BD223" s="397"/>
      <c r="BE223" s="397"/>
      <c r="BF223" s="259">
        <v>9.68</v>
      </c>
      <c r="BG223" s="259">
        <v>7.93</v>
      </c>
      <c r="BH223" s="259">
        <v>5.75</v>
      </c>
      <c r="BI223" s="111">
        <f t="shared" ref="BI223:BI273" si="67">(BH223*BG223*BF223)/1728</f>
        <v>0.25543043981481478</v>
      </c>
      <c r="BJ223" s="259">
        <v>4.1500000000000004</v>
      </c>
      <c r="BK223" s="342"/>
      <c r="BL223" s="342"/>
      <c r="BM223" s="250" t="s">
        <v>764</v>
      </c>
      <c r="BN223" s="251">
        <v>6</v>
      </c>
      <c r="BO223" s="251">
        <v>24</v>
      </c>
      <c r="BP223" s="251">
        <v>7</v>
      </c>
      <c r="BQ223" s="27">
        <f t="shared" ref="BQ223:BQ273" si="68">BN223*BO223*BP223</f>
        <v>1008</v>
      </c>
      <c r="BR223" s="27">
        <f t="shared" ref="BR223:BR273" si="69">(BJ223*BO223*BP223)+50</f>
        <v>747.2</v>
      </c>
      <c r="BS223" s="27" t="s">
        <v>769</v>
      </c>
      <c r="BT223" s="27" t="s">
        <v>766</v>
      </c>
      <c r="BU223" s="276"/>
      <c r="BV223" s="276"/>
      <c r="BW223" s="276"/>
      <c r="BX223" s="14"/>
      <c r="BY223" s="14"/>
      <c r="BZ223" s="14"/>
      <c r="CA223" s="14"/>
      <c r="CB223" s="14"/>
      <c r="CC223" s="14"/>
      <c r="CD223" s="14"/>
      <c r="CE223" s="14"/>
    </row>
    <row r="224" spans="1:83" s="125" customFormat="1" x14ac:dyDescent="0.25">
      <c r="A224" s="278">
        <v>41713</v>
      </c>
      <c r="B224" s="278"/>
      <c r="C224" s="250" t="s">
        <v>1129</v>
      </c>
      <c r="D224" s="251" t="s">
        <v>735</v>
      </c>
      <c r="E224" s="296" t="s">
        <v>1861</v>
      </c>
      <c r="F224" s="274" t="s">
        <v>1927</v>
      </c>
      <c r="G224" s="250" t="s">
        <v>737</v>
      </c>
      <c r="H224" s="250">
        <v>96985730</v>
      </c>
      <c r="I224" s="201"/>
      <c r="J224" s="25"/>
      <c r="K224" s="25"/>
      <c r="L224" s="26"/>
      <c r="M224" s="275"/>
      <c r="N224" s="275"/>
      <c r="O224" s="275"/>
      <c r="P224" s="275"/>
      <c r="Q224" s="275"/>
      <c r="R224" s="275"/>
      <c r="S224" s="275"/>
      <c r="T224" s="275"/>
      <c r="U224" s="294"/>
      <c r="V224" s="294"/>
      <c r="W224" s="25"/>
      <c r="X224" s="294"/>
      <c r="Y224" s="295"/>
      <c r="Z224" s="294"/>
      <c r="AA224" s="295"/>
      <c r="AB224" s="270" t="s">
        <v>1130</v>
      </c>
      <c r="AC224" s="250"/>
      <c r="AD224" s="250"/>
      <c r="AE224" s="250"/>
      <c r="AF224" s="250"/>
      <c r="AG224" s="250"/>
      <c r="AH224" s="250"/>
      <c r="AI224" s="250"/>
      <c r="AJ224" s="250"/>
      <c r="AK224" s="261"/>
      <c r="AL224" s="250" t="s">
        <v>1928</v>
      </c>
      <c r="AM224" s="250"/>
      <c r="AN224" s="250" t="s">
        <v>1131</v>
      </c>
      <c r="AO224" s="250"/>
      <c r="AP224" s="250" t="s">
        <v>1132</v>
      </c>
      <c r="AQ224" s="250"/>
      <c r="AR224" s="157">
        <v>10.89</v>
      </c>
      <c r="AS224" s="282" t="s">
        <v>1929</v>
      </c>
      <c r="AT224" s="282" t="s">
        <v>1930</v>
      </c>
      <c r="AU224" s="282"/>
      <c r="AV224" s="282"/>
      <c r="AW224" s="282"/>
      <c r="AX224" s="282"/>
      <c r="AY224" s="282"/>
      <c r="AZ224" s="282"/>
      <c r="BA224" s="259">
        <v>2.786</v>
      </c>
      <c r="BB224" s="259">
        <v>2.786</v>
      </c>
      <c r="BC224" s="259">
        <v>2.7589999999999999</v>
      </c>
      <c r="BD224" s="111">
        <f>(BC224*BB224*BA224)/1728</f>
        <v>1.2392821275462963E-2</v>
      </c>
      <c r="BE224" s="113">
        <v>0.5</v>
      </c>
      <c r="BF224" s="113">
        <v>6.3620000000000001</v>
      </c>
      <c r="BG224" s="113">
        <v>3.056</v>
      </c>
      <c r="BH224" s="113">
        <v>8.8059999999999992</v>
      </c>
      <c r="BI224" s="111">
        <f t="shared" si="67"/>
        <v>9.9079078259259268E-2</v>
      </c>
      <c r="BJ224" s="259">
        <f>BE224*BN224+0.25</f>
        <v>3.25</v>
      </c>
      <c r="BK224" s="342"/>
      <c r="BL224" s="342"/>
      <c r="BM224" s="250" t="s">
        <v>764</v>
      </c>
      <c r="BN224" s="250">
        <v>6</v>
      </c>
      <c r="BO224" s="251">
        <v>32</v>
      </c>
      <c r="BP224" s="251">
        <v>12</v>
      </c>
      <c r="BQ224" s="27">
        <f t="shared" si="68"/>
        <v>2304</v>
      </c>
      <c r="BR224" s="27">
        <f t="shared" si="69"/>
        <v>1298</v>
      </c>
      <c r="BS224" s="27" t="s">
        <v>886</v>
      </c>
      <c r="BT224" s="27" t="s">
        <v>766</v>
      </c>
      <c r="BU224" s="276"/>
      <c r="BV224" s="276"/>
      <c r="BW224" s="276"/>
      <c r="BX224" s="14"/>
      <c r="BY224" s="14"/>
      <c r="BZ224" s="14"/>
      <c r="CA224" s="14"/>
      <c r="CB224" s="14"/>
      <c r="CC224" s="14"/>
      <c r="CD224" s="14"/>
      <c r="CE224" s="14"/>
    </row>
    <row r="225" spans="1:83" s="125" customFormat="1" x14ac:dyDescent="0.25">
      <c r="A225" s="278">
        <v>41713</v>
      </c>
      <c r="B225" s="278"/>
      <c r="C225" s="250" t="s">
        <v>1931</v>
      </c>
      <c r="D225" s="250" t="s">
        <v>735</v>
      </c>
      <c r="E225" s="291" t="s">
        <v>1932</v>
      </c>
      <c r="F225" s="274" t="s">
        <v>1933</v>
      </c>
      <c r="G225" s="250" t="s">
        <v>1303</v>
      </c>
      <c r="H225" s="250" t="s">
        <v>1934</v>
      </c>
      <c r="I225" s="250" t="s">
        <v>1303</v>
      </c>
      <c r="J225" s="250" t="s">
        <v>1935</v>
      </c>
      <c r="K225" s="25"/>
      <c r="L225" s="26"/>
      <c r="M225" s="275"/>
      <c r="N225" s="275"/>
      <c r="O225" s="275"/>
      <c r="P225" s="275"/>
      <c r="Q225" s="275"/>
      <c r="R225" s="275"/>
      <c r="S225" s="275"/>
      <c r="T225" s="275"/>
      <c r="U225" s="294"/>
      <c r="V225" s="294"/>
      <c r="W225" s="25">
        <v>89756</v>
      </c>
      <c r="X225" s="294"/>
      <c r="Y225" s="295"/>
      <c r="Z225" s="294"/>
      <c r="AA225" s="295"/>
      <c r="AB225" s="270" t="s">
        <v>1936</v>
      </c>
      <c r="AC225" s="250" t="s">
        <v>1937</v>
      </c>
      <c r="AD225" s="250" t="s">
        <v>1938</v>
      </c>
      <c r="AE225" s="250"/>
      <c r="AF225" s="250"/>
      <c r="AG225" s="250"/>
      <c r="AH225" s="250" t="s">
        <v>1939</v>
      </c>
      <c r="AI225" s="250"/>
      <c r="AJ225" s="250"/>
      <c r="AK225" s="261">
        <v>4756</v>
      </c>
      <c r="AL225" s="250" t="s">
        <v>1940</v>
      </c>
      <c r="AM225" s="250"/>
      <c r="AN225" s="250" t="s">
        <v>1941</v>
      </c>
      <c r="AO225" s="250"/>
      <c r="AP225" s="250" t="s">
        <v>1942</v>
      </c>
      <c r="AQ225" s="250">
        <v>24756</v>
      </c>
      <c r="AR225" s="157">
        <v>36.049999999999997</v>
      </c>
      <c r="AS225" s="282" t="s">
        <v>1943</v>
      </c>
      <c r="AT225" s="282" t="s">
        <v>1944</v>
      </c>
      <c r="AU225" s="282"/>
      <c r="AV225" s="282"/>
      <c r="AW225" s="282"/>
      <c r="AX225" s="282"/>
      <c r="AY225" s="282"/>
      <c r="AZ225" s="282"/>
      <c r="BA225" s="397" t="s">
        <v>1505</v>
      </c>
      <c r="BB225" s="397"/>
      <c r="BC225" s="397"/>
      <c r="BD225" s="397"/>
      <c r="BE225" s="397"/>
      <c r="BF225" s="113">
        <v>18.25</v>
      </c>
      <c r="BG225" s="113">
        <v>10.25</v>
      </c>
      <c r="BH225" s="113">
        <v>9.75</v>
      </c>
      <c r="BI225" s="111">
        <f t="shared" si="67"/>
        <v>1.0554741753472223</v>
      </c>
      <c r="BJ225" s="113">
        <f>0.56*BN225+0.25</f>
        <v>3.6100000000000003</v>
      </c>
      <c r="BK225" s="341"/>
      <c r="BL225" s="341"/>
      <c r="BM225" s="250" t="s">
        <v>764</v>
      </c>
      <c r="BN225" s="250">
        <v>6</v>
      </c>
      <c r="BO225" s="250">
        <v>9</v>
      </c>
      <c r="BP225" s="250">
        <v>4</v>
      </c>
      <c r="BQ225" s="27">
        <f t="shared" si="68"/>
        <v>216</v>
      </c>
      <c r="BR225" s="27">
        <f t="shared" si="69"/>
        <v>179.96</v>
      </c>
      <c r="BS225" s="27" t="s">
        <v>769</v>
      </c>
      <c r="BT225" s="27" t="s">
        <v>766</v>
      </c>
      <c r="BU225" s="276"/>
      <c r="BV225" s="276"/>
      <c r="BW225" s="276"/>
      <c r="BX225" s="14"/>
      <c r="BY225" s="14"/>
      <c r="BZ225" s="14"/>
      <c r="CA225" s="14"/>
      <c r="CB225" s="14"/>
      <c r="CC225" s="14"/>
      <c r="CD225" s="14"/>
      <c r="CE225" s="14"/>
    </row>
    <row r="226" spans="1:83" s="125" customFormat="1" ht="30" x14ac:dyDescent="0.25">
      <c r="A226" s="278">
        <v>41713</v>
      </c>
      <c r="B226" s="278"/>
      <c r="C226" s="250" t="s">
        <v>1945</v>
      </c>
      <c r="D226" s="250" t="s">
        <v>60</v>
      </c>
      <c r="E226" s="291" t="s">
        <v>1946</v>
      </c>
      <c r="F226" s="274" t="s">
        <v>1947</v>
      </c>
      <c r="G226" s="250" t="s">
        <v>1149</v>
      </c>
      <c r="H226" s="250" t="s">
        <v>1948</v>
      </c>
      <c r="I226" s="250" t="s">
        <v>1149</v>
      </c>
      <c r="J226" s="250" t="s">
        <v>1949</v>
      </c>
      <c r="K226" s="250" t="s">
        <v>1149</v>
      </c>
      <c r="L226" s="250" t="s">
        <v>1950</v>
      </c>
      <c r="M226" s="250" t="s">
        <v>1149</v>
      </c>
      <c r="N226" s="250" t="s">
        <v>1951</v>
      </c>
      <c r="O226" s="250" t="s">
        <v>1478</v>
      </c>
      <c r="P226" s="250" t="s">
        <v>1952</v>
      </c>
      <c r="Q226" s="275"/>
      <c r="R226" s="275"/>
      <c r="S226" s="275"/>
      <c r="T226" s="275"/>
      <c r="U226" s="294" t="s">
        <v>1953</v>
      </c>
      <c r="V226" s="294"/>
      <c r="W226" s="25"/>
      <c r="X226" s="294"/>
      <c r="Y226" s="295"/>
      <c r="Z226" s="294"/>
      <c r="AA226" s="295"/>
      <c r="AB226" s="270"/>
      <c r="AC226" s="250"/>
      <c r="AD226" s="250"/>
      <c r="AE226" s="250"/>
      <c r="AF226" s="250"/>
      <c r="AG226" s="250"/>
      <c r="AH226" s="250"/>
      <c r="AI226" s="250"/>
      <c r="AJ226" s="250"/>
      <c r="AK226" s="261"/>
      <c r="AL226" s="250"/>
      <c r="AM226" s="250"/>
      <c r="AN226" s="250"/>
      <c r="AO226" s="250"/>
      <c r="AP226" s="250"/>
      <c r="AQ226" s="250"/>
      <c r="AR226" s="157">
        <v>85</v>
      </c>
      <c r="AS226" s="282" t="s">
        <v>1954</v>
      </c>
      <c r="AT226" s="282" t="s">
        <v>1955</v>
      </c>
      <c r="AU226" s="282"/>
      <c r="AV226" s="282"/>
      <c r="AW226" s="282"/>
      <c r="AX226" s="282"/>
      <c r="AY226" s="282"/>
      <c r="AZ226" s="282"/>
      <c r="BA226" s="113">
        <v>8.4239999999999995</v>
      </c>
      <c r="BB226" s="113">
        <v>4.5439999999999996</v>
      </c>
      <c r="BC226" s="250">
        <v>6.7779999999999996</v>
      </c>
      <c r="BD226" s="111">
        <f>(BA226*BB226*BC226)/1728</f>
        <v>0.15014625599999998</v>
      </c>
      <c r="BE226" s="113">
        <f>0.91+0.1</f>
        <v>1.01</v>
      </c>
      <c r="BF226" s="113">
        <v>17.495999999999999</v>
      </c>
      <c r="BG226" s="113">
        <v>14.305999999999999</v>
      </c>
      <c r="BH226" s="113">
        <v>7.492</v>
      </c>
      <c r="BI226" s="111">
        <f t="shared" si="67"/>
        <v>1.0852030889999997</v>
      </c>
      <c r="BJ226" s="113">
        <f>BE226*BN226+0.25</f>
        <v>6.3100000000000005</v>
      </c>
      <c r="BK226" s="341"/>
      <c r="BL226" s="341"/>
      <c r="BM226" s="250" t="s">
        <v>764</v>
      </c>
      <c r="BN226" s="250">
        <v>6</v>
      </c>
      <c r="BO226" s="250">
        <v>6</v>
      </c>
      <c r="BP226" s="250">
        <v>5</v>
      </c>
      <c r="BQ226" s="27">
        <f t="shared" si="68"/>
        <v>180</v>
      </c>
      <c r="BR226" s="27">
        <f t="shared" si="69"/>
        <v>239.3</v>
      </c>
      <c r="BS226" s="27" t="s">
        <v>886</v>
      </c>
      <c r="BT226" s="27" t="s">
        <v>766</v>
      </c>
      <c r="BU226" s="276"/>
      <c r="BV226" s="276"/>
      <c r="BW226" s="276"/>
      <c r="BX226" s="14"/>
      <c r="BY226" s="14"/>
      <c r="BZ226" s="14"/>
      <c r="CA226" s="14"/>
      <c r="CB226" s="14"/>
      <c r="CC226" s="14"/>
      <c r="CD226" s="14"/>
      <c r="CE226" s="14"/>
    </row>
    <row r="227" spans="1:83" s="125" customFormat="1" ht="30" x14ac:dyDescent="0.25">
      <c r="A227" s="278">
        <v>41713</v>
      </c>
      <c r="B227" s="278"/>
      <c r="C227" s="251" t="s">
        <v>1956</v>
      </c>
      <c r="D227" s="251" t="s">
        <v>60</v>
      </c>
      <c r="E227" s="296" t="s">
        <v>1946</v>
      </c>
      <c r="F227" s="274" t="s">
        <v>1957</v>
      </c>
      <c r="G227" s="250" t="s">
        <v>1369</v>
      </c>
      <c r="H227" s="250" t="s">
        <v>1958</v>
      </c>
      <c r="I227" s="201"/>
      <c r="J227" s="25"/>
      <c r="K227" s="25"/>
      <c r="L227" s="26"/>
      <c r="M227" s="275"/>
      <c r="N227" s="275"/>
      <c r="O227" s="275"/>
      <c r="P227" s="275"/>
      <c r="Q227" s="275"/>
      <c r="R227" s="275"/>
      <c r="S227" s="275"/>
      <c r="T227" s="275"/>
      <c r="U227" s="294"/>
      <c r="V227" s="294"/>
      <c r="W227" s="25"/>
      <c r="X227" s="294"/>
      <c r="Y227" s="295"/>
      <c r="Z227" s="294"/>
      <c r="AA227" s="295"/>
      <c r="AB227" s="270" t="s">
        <v>1959</v>
      </c>
      <c r="AC227" s="250"/>
      <c r="AD227" s="250"/>
      <c r="AE227" s="250"/>
      <c r="AF227" s="250"/>
      <c r="AG227" s="250"/>
      <c r="AH227" s="250"/>
      <c r="AI227" s="250"/>
      <c r="AJ227" s="250"/>
      <c r="AK227" s="261"/>
      <c r="AL227" s="250"/>
      <c r="AM227" s="250"/>
      <c r="AN227" s="250"/>
      <c r="AO227" s="250"/>
      <c r="AP227" s="250"/>
      <c r="AQ227" s="250"/>
      <c r="AR227" s="157">
        <v>87.38</v>
      </c>
      <c r="AS227" s="282" t="s">
        <v>1960</v>
      </c>
      <c r="AT227" s="282" t="s">
        <v>1961</v>
      </c>
      <c r="AU227" s="282"/>
      <c r="AV227" s="282"/>
      <c r="AW227" s="282"/>
      <c r="AX227" s="282"/>
      <c r="AY227" s="282"/>
      <c r="AZ227" s="282"/>
      <c r="BA227" s="259">
        <v>3.992</v>
      </c>
      <c r="BB227" s="259">
        <v>3.992</v>
      </c>
      <c r="BC227" s="251">
        <v>8.234</v>
      </c>
      <c r="BD227" s="111">
        <f>(BA227*BB227*BC227)/1728</f>
        <v>7.5936082740740748E-2</v>
      </c>
      <c r="BE227" s="259">
        <v>0.8</v>
      </c>
      <c r="BF227" s="259">
        <v>16.556000000000001</v>
      </c>
      <c r="BG227" s="259">
        <v>12.555999999999999</v>
      </c>
      <c r="BH227" s="259">
        <v>8.8620000000000001</v>
      </c>
      <c r="BI227" s="111">
        <f t="shared" si="67"/>
        <v>1.0660921176111111</v>
      </c>
      <c r="BJ227" s="113">
        <f>BE227*BN227+0.25</f>
        <v>9.8500000000000014</v>
      </c>
      <c r="BK227" s="341"/>
      <c r="BL227" s="341"/>
      <c r="BM227" s="250" t="s">
        <v>764</v>
      </c>
      <c r="BN227" s="251">
        <v>12</v>
      </c>
      <c r="BO227" s="251">
        <v>8</v>
      </c>
      <c r="BP227" s="251">
        <v>4</v>
      </c>
      <c r="BQ227" s="27">
        <f t="shared" si="68"/>
        <v>384</v>
      </c>
      <c r="BR227" s="27">
        <f t="shared" si="69"/>
        <v>365.20000000000005</v>
      </c>
      <c r="BS227" s="27" t="s">
        <v>886</v>
      </c>
      <c r="BT227" s="27" t="s">
        <v>766</v>
      </c>
      <c r="BU227" s="276"/>
      <c r="BV227" s="276"/>
      <c r="BW227" s="276"/>
      <c r="BX227" s="14"/>
      <c r="BY227" s="14"/>
      <c r="BZ227" s="14"/>
      <c r="CA227" s="14"/>
      <c r="CB227" s="14"/>
      <c r="CC227" s="14"/>
      <c r="CD227" s="14"/>
      <c r="CE227" s="14"/>
    </row>
    <row r="228" spans="1:83" s="125" customFormat="1" x14ac:dyDescent="0.25">
      <c r="A228" s="278">
        <v>41713</v>
      </c>
      <c r="B228" s="278"/>
      <c r="C228" s="251" t="s">
        <v>1962</v>
      </c>
      <c r="D228" s="250" t="s">
        <v>735</v>
      </c>
      <c r="E228" s="296" t="s">
        <v>1932</v>
      </c>
      <c r="F228" s="274" t="s">
        <v>1963</v>
      </c>
      <c r="G228" s="250" t="s">
        <v>963</v>
      </c>
      <c r="H228" s="250" t="s">
        <v>1964</v>
      </c>
      <c r="I228" s="201"/>
      <c r="J228" s="25"/>
      <c r="K228" s="25"/>
      <c r="L228" s="26"/>
      <c r="M228" s="275"/>
      <c r="N228" s="275"/>
      <c r="O228" s="275"/>
      <c r="P228" s="275"/>
      <c r="Q228" s="275"/>
      <c r="R228" s="275"/>
      <c r="S228" s="275"/>
      <c r="T228" s="275"/>
      <c r="U228" s="294"/>
      <c r="V228" s="294"/>
      <c r="W228" s="25"/>
      <c r="X228" s="294"/>
      <c r="Y228" s="295"/>
      <c r="Z228" s="294"/>
      <c r="AA228" s="295"/>
      <c r="AB228" s="270" t="s">
        <v>1965</v>
      </c>
      <c r="AC228" s="250"/>
      <c r="AD228" s="250"/>
      <c r="AE228" s="250" t="s">
        <v>1966</v>
      </c>
      <c r="AF228" s="250"/>
      <c r="AG228" s="250"/>
      <c r="AH228" s="250"/>
      <c r="AI228" s="250"/>
      <c r="AJ228" s="250"/>
      <c r="AK228" s="261"/>
      <c r="AL228" s="250" t="s">
        <v>1967</v>
      </c>
      <c r="AM228" s="250" t="s">
        <v>1968</v>
      </c>
      <c r="AN228" s="250" t="s">
        <v>1969</v>
      </c>
      <c r="AO228" s="250"/>
      <c r="AP228" s="250" t="s">
        <v>1970</v>
      </c>
      <c r="AQ228" s="250">
        <v>49049</v>
      </c>
      <c r="AR228" s="157">
        <v>25.95</v>
      </c>
      <c r="AS228" s="282" t="s">
        <v>1971</v>
      </c>
      <c r="AT228" s="282" t="s">
        <v>1972</v>
      </c>
      <c r="AU228" s="282"/>
      <c r="AV228" s="282"/>
      <c r="AW228" s="282"/>
      <c r="AX228" s="282"/>
      <c r="AY228" s="282"/>
      <c r="AZ228" s="282"/>
      <c r="BA228" s="259">
        <v>9.7859999999999996</v>
      </c>
      <c r="BB228" s="259">
        <v>2.3460000000000001</v>
      </c>
      <c r="BC228" s="251">
        <v>9.8219999999999992</v>
      </c>
      <c r="BD228" s="111">
        <f>(BA228*BB228*BC228)/1728</f>
        <v>0.13049365962499998</v>
      </c>
      <c r="BE228" s="259">
        <v>0.56000000000000005</v>
      </c>
      <c r="BF228" s="259">
        <v>10.25</v>
      </c>
      <c r="BG228" s="259">
        <v>7.75</v>
      </c>
      <c r="BH228" s="259">
        <v>10.5</v>
      </c>
      <c r="BI228" s="111">
        <f t="shared" si="67"/>
        <v>0.4826931423611111</v>
      </c>
      <c r="BJ228" s="113">
        <f>BE228*BN228+0.25</f>
        <v>1.9300000000000002</v>
      </c>
      <c r="BK228" s="341"/>
      <c r="BL228" s="341"/>
      <c r="BM228" s="250" t="s">
        <v>764</v>
      </c>
      <c r="BN228" s="251">
        <v>3</v>
      </c>
      <c r="BO228" s="251">
        <v>22</v>
      </c>
      <c r="BP228" s="251">
        <v>4</v>
      </c>
      <c r="BQ228" s="27">
        <f t="shared" si="68"/>
        <v>264</v>
      </c>
      <c r="BR228" s="27">
        <f t="shared" si="69"/>
        <v>219.84</v>
      </c>
      <c r="BS228" s="27" t="s">
        <v>886</v>
      </c>
      <c r="BT228" s="27" t="s">
        <v>766</v>
      </c>
      <c r="BU228" s="276"/>
      <c r="BV228" s="276"/>
      <c r="BW228" s="276"/>
      <c r="BX228" s="14"/>
      <c r="BY228" s="14"/>
      <c r="BZ228" s="14"/>
      <c r="CA228" s="14"/>
      <c r="CB228" s="14"/>
      <c r="CC228" s="14"/>
      <c r="CD228" s="14"/>
      <c r="CE228" s="14"/>
    </row>
    <row r="229" spans="1:83" s="125" customFormat="1" x14ac:dyDescent="0.25">
      <c r="A229" s="278">
        <v>41713</v>
      </c>
      <c r="B229" s="278"/>
      <c r="C229" s="251" t="s">
        <v>1973</v>
      </c>
      <c r="D229" s="251" t="s">
        <v>735</v>
      </c>
      <c r="E229" s="296" t="s">
        <v>1974</v>
      </c>
      <c r="F229" s="274" t="s">
        <v>1975</v>
      </c>
      <c r="G229" s="250" t="s">
        <v>1976</v>
      </c>
      <c r="H229" s="250" t="s">
        <v>1977</v>
      </c>
      <c r="I229" s="201"/>
      <c r="J229" s="25"/>
      <c r="K229" s="25"/>
      <c r="L229" s="26"/>
      <c r="M229" s="275"/>
      <c r="N229" s="275"/>
      <c r="O229" s="275"/>
      <c r="P229" s="275"/>
      <c r="Q229" s="275"/>
      <c r="R229" s="275"/>
      <c r="S229" s="275"/>
      <c r="T229" s="275"/>
      <c r="U229" s="294"/>
      <c r="V229" s="294"/>
      <c r="W229" s="25"/>
      <c r="X229" s="294"/>
      <c r="Y229" s="295"/>
      <c r="Z229" s="294"/>
      <c r="AA229" s="295"/>
      <c r="AB229" s="270" t="s">
        <v>1978</v>
      </c>
      <c r="AC229" s="250"/>
      <c r="AD229" s="250"/>
      <c r="AE229" s="250"/>
      <c r="AF229" s="250"/>
      <c r="AG229" s="250"/>
      <c r="AH229" s="250"/>
      <c r="AI229" s="250"/>
      <c r="AJ229" s="250"/>
      <c r="AK229" s="261"/>
      <c r="AL229" s="250"/>
      <c r="AM229" s="250" t="s">
        <v>1979</v>
      </c>
      <c r="AN229" s="250" t="s">
        <v>1980</v>
      </c>
      <c r="AO229" s="250"/>
      <c r="AP229" s="250"/>
      <c r="AQ229" s="250">
        <v>57070</v>
      </c>
      <c r="AR229" s="157">
        <v>34.99</v>
      </c>
      <c r="AS229" s="282" t="s">
        <v>1981</v>
      </c>
      <c r="AT229" s="282" t="s">
        <v>1982</v>
      </c>
      <c r="AU229" s="282"/>
      <c r="AV229" s="282"/>
      <c r="AW229" s="282"/>
      <c r="AX229" s="282"/>
      <c r="AY229" s="282"/>
      <c r="AZ229" s="282"/>
      <c r="BA229" s="113">
        <v>3.1859999999999999</v>
      </c>
      <c r="BB229" s="113">
        <v>3.1859999999999999</v>
      </c>
      <c r="BC229" s="251">
        <v>6.0720000000000001</v>
      </c>
      <c r="BD229" s="111">
        <f>(BA229*BB229*BC229)/1728</f>
        <v>3.5668066499999998E-2</v>
      </c>
      <c r="BE229" s="113">
        <v>0.27</v>
      </c>
      <c r="BF229" s="259">
        <v>10</v>
      </c>
      <c r="BG229" s="259">
        <v>6.75</v>
      </c>
      <c r="BH229" s="259">
        <v>6.62</v>
      </c>
      <c r="BI229" s="111">
        <f t="shared" si="67"/>
        <v>0.25859375000000001</v>
      </c>
      <c r="BJ229" s="259">
        <f>BE229*BN229+0.25</f>
        <v>1.87</v>
      </c>
      <c r="BK229" s="342"/>
      <c r="BL229" s="342"/>
      <c r="BM229" s="250" t="s">
        <v>764</v>
      </c>
      <c r="BN229" s="251">
        <v>6</v>
      </c>
      <c r="BO229" s="251">
        <v>26</v>
      </c>
      <c r="BP229" s="251">
        <v>6</v>
      </c>
      <c r="BQ229" s="27">
        <f t="shared" si="68"/>
        <v>936</v>
      </c>
      <c r="BR229" s="27">
        <f t="shared" si="69"/>
        <v>341.72</v>
      </c>
      <c r="BS229" s="27" t="s">
        <v>946</v>
      </c>
      <c r="BT229" s="27" t="s">
        <v>766</v>
      </c>
      <c r="BU229" s="276"/>
      <c r="BV229" s="276"/>
      <c r="BW229" s="276"/>
      <c r="BX229" s="14"/>
      <c r="BY229" s="14"/>
      <c r="BZ229" s="14"/>
      <c r="CA229" s="14"/>
      <c r="CB229" s="14"/>
      <c r="CC229" s="14"/>
      <c r="CD229" s="14"/>
      <c r="CE229" s="14"/>
    </row>
    <row r="230" spans="1:83" s="300" customFormat="1" ht="30" x14ac:dyDescent="0.25">
      <c r="A230" s="278">
        <v>41699</v>
      </c>
      <c r="B230" s="278"/>
      <c r="C230" s="250" t="s">
        <v>1983</v>
      </c>
      <c r="D230" s="250" t="s">
        <v>735</v>
      </c>
      <c r="E230" s="296" t="s">
        <v>1984</v>
      </c>
      <c r="F230" s="270" t="s">
        <v>1985</v>
      </c>
      <c r="G230" s="261" t="s">
        <v>798</v>
      </c>
      <c r="H230" s="296" t="s">
        <v>1986</v>
      </c>
      <c r="I230" s="25"/>
      <c r="J230" s="25"/>
      <c r="K230" s="25"/>
      <c r="L230" s="26"/>
      <c r="M230" s="261"/>
      <c r="N230" s="261"/>
      <c r="O230" s="261"/>
      <c r="P230" s="261"/>
      <c r="Q230" s="261"/>
      <c r="R230" s="261"/>
      <c r="S230" s="261"/>
      <c r="T230" s="261"/>
      <c r="U230" s="294"/>
      <c r="V230" s="294"/>
      <c r="W230" s="25"/>
      <c r="X230" s="294"/>
      <c r="Y230" s="295"/>
      <c r="Z230" s="294"/>
      <c r="AA230" s="295"/>
      <c r="AB230" s="250"/>
      <c r="AC230" s="250"/>
      <c r="AD230" s="250"/>
      <c r="AE230" s="250"/>
      <c r="AF230" s="250"/>
      <c r="AG230" s="250"/>
      <c r="AH230" s="250"/>
      <c r="AI230" s="250"/>
      <c r="AJ230" s="250"/>
      <c r="AK230" s="261"/>
      <c r="AL230" s="250"/>
      <c r="AM230" s="250"/>
      <c r="AN230" s="250"/>
      <c r="AO230" s="250"/>
      <c r="AP230" s="250"/>
      <c r="AQ230" s="280"/>
      <c r="AR230" s="157">
        <v>23.39</v>
      </c>
      <c r="AS230" s="282" t="s">
        <v>1987</v>
      </c>
      <c r="AT230" s="282" t="s">
        <v>1988</v>
      </c>
      <c r="AU230" s="282"/>
      <c r="AV230" s="282"/>
      <c r="AW230" s="282"/>
      <c r="AX230" s="282"/>
      <c r="AY230" s="282"/>
      <c r="AZ230" s="282"/>
      <c r="BA230" s="397" t="s">
        <v>1505</v>
      </c>
      <c r="BB230" s="398"/>
      <c r="BC230" s="398"/>
      <c r="BD230" s="398"/>
      <c r="BE230" s="398"/>
      <c r="BF230" s="113">
        <v>11.75</v>
      </c>
      <c r="BG230" s="113">
        <v>10.5</v>
      </c>
      <c r="BH230" s="113">
        <v>7.375</v>
      </c>
      <c r="BI230" s="111">
        <f t="shared" si="67"/>
        <v>0.52655707465277779</v>
      </c>
      <c r="BJ230" s="113">
        <v>2.35</v>
      </c>
      <c r="BK230" s="341"/>
      <c r="BL230" s="341"/>
      <c r="BM230" s="250" t="s">
        <v>764</v>
      </c>
      <c r="BN230" s="250">
        <v>6</v>
      </c>
      <c r="BO230" s="250">
        <v>12</v>
      </c>
      <c r="BP230" s="250">
        <v>6</v>
      </c>
      <c r="BQ230" s="27">
        <f t="shared" si="68"/>
        <v>432</v>
      </c>
      <c r="BR230" s="27">
        <f t="shared" si="69"/>
        <v>219.20000000000002</v>
      </c>
      <c r="BS230" s="27" t="s">
        <v>769</v>
      </c>
      <c r="BT230" s="27" t="s">
        <v>766</v>
      </c>
      <c r="BU230" s="14"/>
      <c r="BV230" s="14"/>
      <c r="BW230" s="14"/>
      <c r="BX230" s="299"/>
      <c r="BY230" s="299"/>
      <c r="BZ230" s="299"/>
      <c r="CA230" s="299"/>
      <c r="CB230" s="299"/>
      <c r="CC230" s="299"/>
      <c r="CD230" s="299"/>
      <c r="CE230" s="299"/>
    </row>
    <row r="231" spans="1:83" s="300" customFormat="1" x14ac:dyDescent="0.25">
      <c r="A231" s="278">
        <v>41699</v>
      </c>
      <c r="B231" s="278"/>
      <c r="C231" s="251" t="s">
        <v>1989</v>
      </c>
      <c r="D231" s="251" t="s">
        <v>735</v>
      </c>
      <c r="E231" s="296" t="s">
        <v>1887</v>
      </c>
      <c r="F231" s="274" t="s">
        <v>1990</v>
      </c>
      <c r="G231" s="274" t="s">
        <v>798</v>
      </c>
      <c r="H231" s="274" t="s">
        <v>1991</v>
      </c>
      <c r="I231" s="201"/>
      <c r="J231" s="25"/>
      <c r="K231" s="25"/>
      <c r="L231" s="26"/>
      <c r="M231" s="261"/>
      <c r="N231" s="261"/>
      <c r="O231" s="261"/>
      <c r="P231" s="261"/>
      <c r="Q231" s="261"/>
      <c r="R231" s="261"/>
      <c r="S231" s="261"/>
      <c r="T231" s="261"/>
      <c r="U231" s="294"/>
      <c r="V231" s="294"/>
      <c r="W231" s="25">
        <v>83570</v>
      </c>
      <c r="X231" s="294"/>
      <c r="Y231" s="295"/>
      <c r="Z231" s="294"/>
      <c r="AA231" s="295"/>
      <c r="AB231" s="270" t="s">
        <v>1992</v>
      </c>
      <c r="AC231" s="250" t="s">
        <v>1993</v>
      </c>
      <c r="AD231" s="250"/>
      <c r="AE231" s="250" t="s">
        <v>1994</v>
      </c>
      <c r="AF231" s="250"/>
      <c r="AG231" s="250"/>
      <c r="AH231" s="250"/>
      <c r="AI231" s="250"/>
      <c r="AJ231" s="250"/>
      <c r="AK231" s="261">
        <v>9570</v>
      </c>
      <c r="AL231" s="250" t="s">
        <v>1995</v>
      </c>
      <c r="AM231" s="250"/>
      <c r="AN231" s="250" t="s">
        <v>1996</v>
      </c>
      <c r="AO231" s="250"/>
      <c r="AP231" s="250" t="s">
        <v>1997</v>
      </c>
      <c r="AQ231" s="158" t="s">
        <v>1998</v>
      </c>
      <c r="AR231" s="157">
        <v>20.96</v>
      </c>
      <c r="AS231" s="282" t="s">
        <v>1999</v>
      </c>
      <c r="AT231" s="282" t="s">
        <v>2000</v>
      </c>
      <c r="AU231" s="282"/>
      <c r="AV231" s="282"/>
      <c r="AW231" s="282"/>
      <c r="AX231" s="282"/>
      <c r="AY231" s="282"/>
      <c r="AZ231" s="282"/>
      <c r="BA231" s="259">
        <v>7.7859999999999996</v>
      </c>
      <c r="BB231" s="259">
        <v>2.536</v>
      </c>
      <c r="BC231" s="259">
        <v>9.0719999999999992</v>
      </c>
      <c r="BD231" s="111">
        <f>(BC231*BB231*BA231)/1728</f>
        <v>0.10366280399999998</v>
      </c>
      <c r="BE231" s="259">
        <v>0.3</v>
      </c>
      <c r="BF231" s="259">
        <v>9.75</v>
      </c>
      <c r="BG231" s="259">
        <v>8.18</v>
      </c>
      <c r="BH231" s="259">
        <v>8.5</v>
      </c>
      <c r="BI231" s="111">
        <f t="shared" si="67"/>
        <v>0.39231336805555556</v>
      </c>
      <c r="BJ231" s="113">
        <f>BE231*BN231+0.25</f>
        <v>1.1499999999999999</v>
      </c>
      <c r="BK231" s="341"/>
      <c r="BL231" s="341"/>
      <c r="BM231" s="250" t="s">
        <v>764</v>
      </c>
      <c r="BN231" s="251">
        <v>3</v>
      </c>
      <c r="BO231" s="251">
        <v>20</v>
      </c>
      <c r="BP231" s="251">
        <v>5</v>
      </c>
      <c r="BQ231" s="27">
        <f t="shared" si="68"/>
        <v>300</v>
      </c>
      <c r="BR231" s="27">
        <f t="shared" si="69"/>
        <v>165</v>
      </c>
      <c r="BS231" s="27" t="s">
        <v>769</v>
      </c>
      <c r="BT231" s="27" t="s">
        <v>766</v>
      </c>
      <c r="BU231" s="14"/>
      <c r="BV231" s="14"/>
      <c r="BW231" s="14"/>
      <c r="BX231" s="299"/>
      <c r="BY231" s="299"/>
      <c r="BZ231" s="299"/>
      <c r="CA231" s="299"/>
      <c r="CB231" s="299"/>
      <c r="CC231" s="299"/>
      <c r="CD231" s="299"/>
      <c r="CE231" s="299"/>
    </row>
    <row r="232" spans="1:83" s="300" customFormat="1" x14ac:dyDescent="0.25">
      <c r="A232" s="278">
        <v>41699</v>
      </c>
      <c r="B232" s="278"/>
      <c r="C232" s="251" t="s">
        <v>2001</v>
      </c>
      <c r="D232" s="251" t="s">
        <v>735</v>
      </c>
      <c r="E232" s="296" t="s">
        <v>1887</v>
      </c>
      <c r="F232" s="274" t="s">
        <v>2002</v>
      </c>
      <c r="G232" s="274" t="s">
        <v>1029</v>
      </c>
      <c r="H232" s="274" t="s">
        <v>2003</v>
      </c>
      <c r="I232" s="201" t="s">
        <v>1533</v>
      </c>
      <c r="J232" s="25" t="s">
        <v>2004</v>
      </c>
      <c r="K232" s="25"/>
      <c r="L232" s="26"/>
      <c r="M232" s="261"/>
      <c r="N232" s="261"/>
      <c r="O232" s="261"/>
      <c r="P232" s="261"/>
      <c r="Q232" s="261"/>
      <c r="R232" s="261"/>
      <c r="S232" s="261"/>
      <c r="T232" s="261"/>
      <c r="U232" s="294"/>
      <c r="V232" s="294"/>
      <c r="W232" s="25">
        <v>83740</v>
      </c>
      <c r="X232" s="294"/>
      <c r="Y232" s="295"/>
      <c r="Z232" s="294"/>
      <c r="AA232" s="295"/>
      <c r="AB232" s="270" t="s">
        <v>2005</v>
      </c>
      <c r="AC232" s="250" t="s">
        <v>2006</v>
      </c>
      <c r="AD232" s="250" t="s">
        <v>2007</v>
      </c>
      <c r="AE232" s="250" t="s">
        <v>2008</v>
      </c>
      <c r="AF232" s="250"/>
      <c r="AG232" s="250"/>
      <c r="AH232" s="250"/>
      <c r="AI232" s="250"/>
      <c r="AJ232" s="250"/>
      <c r="AK232" s="261">
        <v>9740</v>
      </c>
      <c r="AL232" s="250" t="s">
        <v>2009</v>
      </c>
      <c r="AM232" s="250" t="s">
        <v>2010</v>
      </c>
      <c r="AN232" s="250" t="s">
        <v>2011</v>
      </c>
      <c r="AO232" s="250"/>
      <c r="AP232" s="250" t="s">
        <v>2012</v>
      </c>
      <c r="AQ232" s="158">
        <v>49740</v>
      </c>
      <c r="AR232" s="157">
        <v>17.04</v>
      </c>
      <c r="AS232" s="282" t="s">
        <v>2013</v>
      </c>
      <c r="AT232" s="282" t="s">
        <v>2014</v>
      </c>
      <c r="AU232" s="282"/>
      <c r="AV232" s="282"/>
      <c r="AW232" s="282"/>
      <c r="AX232" s="282"/>
      <c r="AY232" s="282"/>
      <c r="AZ232" s="282"/>
      <c r="BA232" s="259">
        <v>6.5359999999999996</v>
      </c>
      <c r="BB232" s="259">
        <v>1.786</v>
      </c>
      <c r="BC232" s="259">
        <v>13.321999999999999</v>
      </c>
      <c r="BD232" s="111">
        <f>(BC232*BB232*BA232)/1728</f>
        <v>8.9995167425925907E-2</v>
      </c>
      <c r="BE232" s="113">
        <f>0.404</f>
        <v>0.40400000000000003</v>
      </c>
      <c r="BF232" s="113">
        <v>14</v>
      </c>
      <c r="BG232" s="113">
        <v>7.75</v>
      </c>
      <c r="BH232" s="113">
        <v>6.5</v>
      </c>
      <c r="BI232" s="111">
        <f t="shared" si="67"/>
        <v>0.40813078703703703</v>
      </c>
      <c r="BJ232" s="259">
        <f>BE232*BN232+0.25</f>
        <v>1.4620000000000002</v>
      </c>
      <c r="BK232" s="342"/>
      <c r="BL232" s="342"/>
      <c r="BM232" s="251" t="s">
        <v>764</v>
      </c>
      <c r="BN232" s="251">
        <v>3</v>
      </c>
      <c r="BO232" s="251">
        <v>15</v>
      </c>
      <c r="BP232" s="251">
        <v>6</v>
      </c>
      <c r="BQ232" s="27">
        <f t="shared" si="68"/>
        <v>270</v>
      </c>
      <c r="BR232" s="27">
        <f t="shared" si="69"/>
        <v>181.58</v>
      </c>
      <c r="BS232" s="250" t="s">
        <v>779</v>
      </c>
      <c r="BT232" s="27" t="s">
        <v>766</v>
      </c>
      <c r="BU232" s="14"/>
      <c r="BV232" s="14"/>
      <c r="BW232" s="14"/>
      <c r="BX232" s="299"/>
      <c r="BY232" s="299"/>
      <c r="BZ232" s="299"/>
      <c r="CA232" s="299"/>
      <c r="CB232" s="299"/>
      <c r="CC232" s="299"/>
      <c r="CD232" s="299"/>
      <c r="CE232" s="299"/>
    </row>
    <row r="233" spans="1:83" s="300" customFormat="1" x14ac:dyDescent="0.25">
      <c r="A233" s="278">
        <v>41699</v>
      </c>
      <c r="B233" s="278"/>
      <c r="C233" s="251" t="s">
        <v>2015</v>
      </c>
      <c r="D233" s="250" t="s">
        <v>735</v>
      </c>
      <c r="E233" s="296" t="s">
        <v>1887</v>
      </c>
      <c r="F233" s="274" t="s">
        <v>2016</v>
      </c>
      <c r="G233" s="261" t="s">
        <v>798</v>
      </c>
      <c r="H233" s="274" t="s">
        <v>2017</v>
      </c>
      <c r="I233" s="201"/>
      <c r="J233" s="25"/>
      <c r="K233" s="25"/>
      <c r="L233" s="26"/>
      <c r="M233" s="261"/>
      <c r="N233" s="261"/>
      <c r="O233" s="261"/>
      <c r="P233" s="261"/>
      <c r="Q233" s="261"/>
      <c r="R233" s="261"/>
      <c r="S233" s="261"/>
      <c r="T233" s="261"/>
      <c r="U233" s="25" t="s">
        <v>2018</v>
      </c>
      <c r="V233" s="294"/>
      <c r="W233" s="25">
        <v>83038</v>
      </c>
      <c r="X233" s="294"/>
      <c r="Y233" s="295"/>
      <c r="Z233" s="294"/>
      <c r="AA233" s="295"/>
      <c r="AB233" s="270" t="s">
        <v>2019</v>
      </c>
      <c r="AC233" s="158" t="s">
        <v>2020</v>
      </c>
      <c r="AD233" s="250"/>
      <c r="AE233" s="25" t="s">
        <v>1189</v>
      </c>
      <c r="AF233" s="25"/>
      <c r="AG233" s="250"/>
      <c r="AH233" s="250"/>
      <c r="AI233" s="250"/>
      <c r="AJ233" s="250"/>
      <c r="AK233" s="25" t="s">
        <v>2021</v>
      </c>
      <c r="AL233" s="250" t="s">
        <v>2022</v>
      </c>
      <c r="AM233" s="25" t="s">
        <v>2023</v>
      </c>
      <c r="AN233" s="250" t="s">
        <v>2024</v>
      </c>
      <c r="AO233" s="250"/>
      <c r="AP233" s="250" t="s">
        <v>2025</v>
      </c>
      <c r="AQ233" s="158" t="s">
        <v>2026</v>
      </c>
      <c r="AR233" s="157">
        <v>11.96</v>
      </c>
      <c r="AS233" s="282" t="s">
        <v>2027</v>
      </c>
      <c r="AT233" s="282" t="s">
        <v>2028</v>
      </c>
      <c r="AU233" s="282"/>
      <c r="AV233" s="282"/>
      <c r="AW233" s="282"/>
      <c r="AX233" s="282"/>
      <c r="AY233" s="282"/>
      <c r="AZ233" s="282"/>
      <c r="BA233" s="259">
        <v>6.5359999999999996</v>
      </c>
      <c r="BB233" s="259">
        <v>1.6559999999999999</v>
      </c>
      <c r="BC233" s="259">
        <v>11.071999999999999</v>
      </c>
      <c r="BD233" s="111">
        <f>(BC233*BB233*BA233)/1728</f>
        <v>6.9351317333333315E-2</v>
      </c>
      <c r="BE233" s="259">
        <v>0.31</v>
      </c>
      <c r="BF233" s="259">
        <v>11.93</v>
      </c>
      <c r="BG233" s="259">
        <v>8</v>
      </c>
      <c r="BH233" s="259">
        <v>6</v>
      </c>
      <c r="BI233" s="111">
        <f t="shared" si="67"/>
        <v>0.3313888888888889</v>
      </c>
      <c r="BJ233" s="113">
        <f>BE233*BN233+0.25</f>
        <v>1.18</v>
      </c>
      <c r="BK233" s="341"/>
      <c r="BL233" s="341"/>
      <c r="BM233" s="250" t="s">
        <v>764</v>
      </c>
      <c r="BN233" s="251">
        <v>3</v>
      </c>
      <c r="BO233" s="251">
        <v>20</v>
      </c>
      <c r="BP233" s="251">
        <v>7</v>
      </c>
      <c r="BQ233" s="27">
        <f t="shared" si="68"/>
        <v>420</v>
      </c>
      <c r="BR233" s="27">
        <f t="shared" si="69"/>
        <v>215.2</v>
      </c>
      <c r="BS233" s="27" t="s">
        <v>765</v>
      </c>
      <c r="BT233" s="27" t="s">
        <v>766</v>
      </c>
      <c r="BU233" s="14"/>
      <c r="BV233" s="14"/>
      <c r="BW233" s="14"/>
      <c r="BX233" s="299"/>
      <c r="BY233" s="299"/>
      <c r="BZ233" s="299"/>
      <c r="CA233" s="299"/>
      <c r="CB233" s="299"/>
      <c r="CC233" s="299"/>
      <c r="CD233" s="299"/>
      <c r="CE233" s="299"/>
    </row>
    <row r="234" spans="1:83" s="300" customFormat="1" ht="30" x14ac:dyDescent="0.25">
      <c r="A234" s="278">
        <v>41699</v>
      </c>
      <c r="B234" s="278"/>
      <c r="C234" s="251" t="s">
        <v>2029</v>
      </c>
      <c r="D234" s="251" t="s">
        <v>735</v>
      </c>
      <c r="E234" s="296" t="s">
        <v>1984</v>
      </c>
      <c r="F234" s="270" t="s">
        <v>2030</v>
      </c>
      <c r="G234" s="261" t="s">
        <v>1048</v>
      </c>
      <c r="H234" s="274" t="s">
        <v>2031</v>
      </c>
      <c r="I234" s="201"/>
      <c r="J234" s="25"/>
      <c r="K234" s="25"/>
      <c r="L234" s="26"/>
      <c r="M234" s="261"/>
      <c r="N234" s="261"/>
      <c r="O234" s="261"/>
      <c r="P234" s="261"/>
      <c r="Q234" s="261"/>
      <c r="R234" s="261"/>
      <c r="S234" s="261"/>
      <c r="T234" s="261"/>
      <c r="U234" s="294"/>
      <c r="V234" s="294"/>
      <c r="W234" s="25">
        <v>83369</v>
      </c>
      <c r="X234" s="294"/>
      <c r="Y234" s="295"/>
      <c r="Z234" s="294"/>
      <c r="AA234" s="295"/>
      <c r="AB234" s="250"/>
      <c r="AC234" s="158" t="s">
        <v>2032</v>
      </c>
      <c r="AD234" s="250"/>
      <c r="AE234" s="250"/>
      <c r="AF234" s="250"/>
      <c r="AG234" s="250"/>
      <c r="AH234" s="250" t="s">
        <v>2033</v>
      </c>
      <c r="AI234" s="250"/>
      <c r="AJ234" s="250"/>
      <c r="AK234" s="261"/>
      <c r="AL234" s="250"/>
      <c r="AM234" s="250" t="s">
        <v>2029</v>
      </c>
      <c r="AN234" s="250"/>
      <c r="AO234" s="250"/>
      <c r="AP234" s="250"/>
      <c r="AQ234" s="250" t="s">
        <v>2034</v>
      </c>
      <c r="AR234" s="157">
        <v>17.37</v>
      </c>
      <c r="AS234" s="282" t="s">
        <v>2035</v>
      </c>
      <c r="AT234" s="282" t="s">
        <v>2036</v>
      </c>
      <c r="AU234" s="282"/>
      <c r="AV234" s="282"/>
      <c r="AW234" s="282"/>
      <c r="AX234" s="282"/>
      <c r="AY234" s="282"/>
      <c r="AZ234" s="282"/>
      <c r="BA234" s="397" t="s">
        <v>1505</v>
      </c>
      <c r="BB234" s="398"/>
      <c r="BC234" s="398"/>
      <c r="BD234" s="398"/>
      <c r="BE234" s="398"/>
      <c r="BF234" s="259">
        <v>12.25</v>
      </c>
      <c r="BG234" s="259">
        <v>9</v>
      </c>
      <c r="BH234" s="259">
        <v>7.88</v>
      </c>
      <c r="BI234" s="111">
        <f t="shared" si="67"/>
        <v>0.50276041666666671</v>
      </c>
      <c r="BJ234" s="259">
        <v>2.71</v>
      </c>
      <c r="BK234" s="342"/>
      <c r="BL234" s="342"/>
      <c r="BM234" s="250" t="s">
        <v>764</v>
      </c>
      <c r="BN234" s="251">
        <v>6</v>
      </c>
      <c r="BO234" s="251">
        <v>16</v>
      </c>
      <c r="BP234" s="251">
        <v>5</v>
      </c>
      <c r="BQ234" s="27">
        <f t="shared" si="68"/>
        <v>480</v>
      </c>
      <c r="BR234" s="27">
        <f t="shared" si="69"/>
        <v>266.8</v>
      </c>
      <c r="BS234" s="27" t="s">
        <v>769</v>
      </c>
      <c r="BT234" s="27" t="s">
        <v>766</v>
      </c>
      <c r="BU234" s="14"/>
      <c r="BV234" s="14"/>
      <c r="BW234" s="14"/>
      <c r="BX234" s="299"/>
      <c r="BY234" s="299"/>
      <c r="BZ234" s="299"/>
      <c r="CA234" s="299"/>
      <c r="CB234" s="299"/>
      <c r="CC234" s="299"/>
      <c r="CD234" s="299"/>
      <c r="CE234" s="299"/>
    </row>
    <row r="235" spans="1:83" s="300" customFormat="1" ht="30" x14ac:dyDescent="0.25">
      <c r="A235" s="278">
        <v>41699</v>
      </c>
      <c r="B235" s="278"/>
      <c r="C235" s="251" t="s">
        <v>2037</v>
      </c>
      <c r="D235" s="250" t="s">
        <v>735</v>
      </c>
      <c r="E235" s="296" t="s">
        <v>1984</v>
      </c>
      <c r="F235" s="270" t="s">
        <v>2038</v>
      </c>
      <c r="G235" s="274" t="s">
        <v>963</v>
      </c>
      <c r="H235" s="250" t="s">
        <v>2039</v>
      </c>
      <c r="I235" s="274" t="s">
        <v>963</v>
      </c>
      <c r="J235" s="25" t="s">
        <v>2040</v>
      </c>
      <c r="K235" s="25"/>
      <c r="L235" s="26"/>
      <c r="M235" s="261"/>
      <c r="N235" s="261"/>
      <c r="O235" s="261"/>
      <c r="P235" s="261"/>
      <c r="Q235" s="261"/>
      <c r="R235" s="261"/>
      <c r="S235" s="261"/>
      <c r="T235" s="261"/>
      <c r="U235" s="294"/>
      <c r="V235" s="294"/>
      <c r="W235" s="25"/>
      <c r="X235" s="294"/>
      <c r="Y235" s="295"/>
      <c r="Z235" s="294"/>
      <c r="AA235" s="295"/>
      <c r="AB235" s="25" t="s">
        <v>2041</v>
      </c>
      <c r="AC235" s="158" t="s">
        <v>2042</v>
      </c>
      <c r="AD235" s="25" t="s">
        <v>2043</v>
      </c>
      <c r="AE235" s="250"/>
      <c r="AF235" s="250"/>
      <c r="AG235" s="250"/>
      <c r="AH235" s="25" t="s">
        <v>2044</v>
      </c>
      <c r="AI235" s="250"/>
      <c r="AJ235" s="250"/>
      <c r="AK235" s="25" t="s">
        <v>2045</v>
      </c>
      <c r="AL235" s="250" t="s">
        <v>2046</v>
      </c>
      <c r="AM235" s="25" t="s">
        <v>2037</v>
      </c>
      <c r="AN235" s="250" t="s">
        <v>2046</v>
      </c>
      <c r="AO235" s="250"/>
      <c r="AP235" s="250" t="s">
        <v>2047</v>
      </c>
      <c r="AQ235" s="250" t="s">
        <v>2048</v>
      </c>
      <c r="AR235" s="157">
        <v>30.76</v>
      </c>
      <c r="AS235" s="282" t="s">
        <v>2049</v>
      </c>
      <c r="AT235" s="282" t="s">
        <v>2050</v>
      </c>
      <c r="AU235" s="282"/>
      <c r="AV235" s="282"/>
      <c r="AW235" s="282"/>
      <c r="AX235" s="282"/>
      <c r="AY235" s="282"/>
      <c r="AZ235" s="282"/>
      <c r="BA235" s="397" t="s">
        <v>1505</v>
      </c>
      <c r="BB235" s="398"/>
      <c r="BC235" s="398"/>
      <c r="BD235" s="398"/>
      <c r="BE235" s="398"/>
      <c r="BF235" s="259">
        <v>13.25</v>
      </c>
      <c r="BG235" s="259">
        <v>10</v>
      </c>
      <c r="BH235" s="259">
        <v>6.25</v>
      </c>
      <c r="BI235" s="111">
        <f t="shared" si="67"/>
        <v>0.47923900462962965</v>
      </c>
      <c r="BJ235" s="259">
        <v>1.27</v>
      </c>
      <c r="BK235" s="342"/>
      <c r="BL235" s="342"/>
      <c r="BM235" s="250" t="s">
        <v>764</v>
      </c>
      <c r="BN235" s="251">
        <v>6</v>
      </c>
      <c r="BO235" s="251">
        <v>14</v>
      </c>
      <c r="BP235" s="251">
        <v>7</v>
      </c>
      <c r="BQ235" s="27">
        <f t="shared" si="68"/>
        <v>588</v>
      </c>
      <c r="BR235" s="27">
        <f t="shared" si="69"/>
        <v>174.46</v>
      </c>
      <c r="BS235" s="27" t="s">
        <v>769</v>
      </c>
      <c r="BT235" s="27" t="s">
        <v>766</v>
      </c>
      <c r="BU235" s="14"/>
      <c r="BV235" s="14"/>
      <c r="BW235" s="14"/>
      <c r="BX235" s="299"/>
      <c r="BY235" s="299"/>
      <c r="BZ235" s="299"/>
      <c r="CA235" s="299"/>
      <c r="CB235" s="299"/>
      <c r="CC235" s="299"/>
      <c r="CD235" s="299"/>
      <c r="CE235" s="299"/>
    </row>
    <row r="236" spans="1:83" s="300" customFormat="1" ht="30" x14ac:dyDescent="0.25">
      <c r="A236" s="278">
        <v>41699</v>
      </c>
      <c r="B236" s="278"/>
      <c r="C236" s="251" t="s">
        <v>2051</v>
      </c>
      <c r="D236" s="251" t="s">
        <v>735</v>
      </c>
      <c r="E236" s="296" t="s">
        <v>1984</v>
      </c>
      <c r="F236" s="270" t="s">
        <v>2052</v>
      </c>
      <c r="G236" s="261" t="s">
        <v>759</v>
      </c>
      <c r="H236" s="274">
        <v>2048300018</v>
      </c>
      <c r="I236" s="201"/>
      <c r="J236" s="25"/>
      <c r="K236" s="25"/>
      <c r="L236" s="26"/>
      <c r="M236" s="261"/>
      <c r="N236" s="261"/>
      <c r="O236" s="261"/>
      <c r="P236" s="261"/>
      <c r="Q236" s="261"/>
      <c r="R236" s="261"/>
      <c r="S236" s="261"/>
      <c r="T236" s="261"/>
      <c r="U236" s="294"/>
      <c r="V236" s="294"/>
      <c r="W236" s="25"/>
      <c r="X236" s="294"/>
      <c r="Y236" s="295"/>
      <c r="Z236" s="294"/>
      <c r="AA236" s="295"/>
      <c r="AB236" s="250"/>
      <c r="AC236" s="158" t="s">
        <v>2053</v>
      </c>
      <c r="AD236" s="25" t="s">
        <v>2054</v>
      </c>
      <c r="AE236" s="250"/>
      <c r="AF236" s="250"/>
      <c r="AG236" s="250"/>
      <c r="AH236" s="25" t="s">
        <v>2055</v>
      </c>
      <c r="AI236" s="250"/>
      <c r="AJ236" s="250"/>
      <c r="AK236" s="261">
        <v>9357</v>
      </c>
      <c r="AL236" s="250" t="s">
        <v>2056</v>
      </c>
      <c r="AM236" s="25" t="s">
        <v>2051</v>
      </c>
      <c r="AN236" s="250" t="s">
        <v>2057</v>
      </c>
      <c r="AO236" s="250"/>
      <c r="AP236" s="250" t="s">
        <v>2058</v>
      </c>
      <c r="AQ236" s="250" t="s">
        <v>2059</v>
      </c>
      <c r="AR236" s="157">
        <v>28.49</v>
      </c>
      <c r="AS236" s="282" t="s">
        <v>2060</v>
      </c>
      <c r="AT236" s="282" t="s">
        <v>2061</v>
      </c>
      <c r="AU236" s="282"/>
      <c r="AV236" s="282"/>
      <c r="AW236" s="282"/>
      <c r="AX236" s="282"/>
      <c r="AY236" s="282"/>
      <c r="AZ236" s="282"/>
      <c r="BA236" s="397" t="s">
        <v>1505</v>
      </c>
      <c r="BB236" s="398"/>
      <c r="BC236" s="398"/>
      <c r="BD236" s="398"/>
      <c r="BE236" s="398"/>
      <c r="BF236" s="259">
        <v>22.12</v>
      </c>
      <c r="BG236" s="259">
        <v>12.62</v>
      </c>
      <c r="BH236" s="259">
        <v>12.87</v>
      </c>
      <c r="BI236" s="111">
        <f t="shared" si="67"/>
        <v>2.0791187083333331</v>
      </c>
      <c r="BJ236" s="259">
        <v>5.86</v>
      </c>
      <c r="BK236" s="342"/>
      <c r="BL236" s="342"/>
      <c r="BM236" s="250" t="s">
        <v>764</v>
      </c>
      <c r="BN236" s="251">
        <v>6</v>
      </c>
      <c r="BO236" s="251">
        <v>6</v>
      </c>
      <c r="BP236" s="251">
        <v>3</v>
      </c>
      <c r="BQ236" s="27">
        <f t="shared" si="68"/>
        <v>108</v>
      </c>
      <c r="BR236" s="27">
        <f t="shared" si="69"/>
        <v>155.48000000000002</v>
      </c>
      <c r="BS236" s="27" t="s">
        <v>769</v>
      </c>
      <c r="BT236" s="27" t="s">
        <v>766</v>
      </c>
      <c r="BU236" s="14"/>
      <c r="BV236" s="14"/>
      <c r="BW236" s="14"/>
      <c r="BX236" s="299"/>
      <c r="BY236" s="299"/>
      <c r="BZ236" s="299"/>
      <c r="CA236" s="299"/>
      <c r="CB236" s="299"/>
      <c r="CC236" s="299"/>
      <c r="CD236" s="299"/>
      <c r="CE236" s="299"/>
    </row>
    <row r="237" spans="1:83" s="300" customFormat="1" ht="30" x14ac:dyDescent="0.25">
      <c r="A237" s="278">
        <v>41699</v>
      </c>
      <c r="B237" s="278"/>
      <c r="C237" s="251" t="s">
        <v>2062</v>
      </c>
      <c r="D237" s="250" t="s">
        <v>735</v>
      </c>
      <c r="E237" s="296" t="s">
        <v>1984</v>
      </c>
      <c r="F237" s="270" t="s">
        <v>2063</v>
      </c>
      <c r="G237" s="261" t="s">
        <v>899</v>
      </c>
      <c r="H237" s="274" t="s">
        <v>2064</v>
      </c>
      <c r="I237" s="261" t="s">
        <v>899</v>
      </c>
      <c r="J237" s="25" t="s">
        <v>2065</v>
      </c>
      <c r="K237" s="25"/>
      <c r="L237" s="26"/>
      <c r="M237" s="261"/>
      <c r="N237" s="261"/>
      <c r="O237" s="261"/>
      <c r="P237" s="261"/>
      <c r="Q237" s="261"/>
      <c r="R237" s="261"/>
      <c r="S237" s="261"/>
      <c r="T237" s="261"/>
      <c r="U237" s="294"/>
      <c r="V237" s="294"/>
      <c r="W237" s="25">
        <v>89300</v>
      </c>
      <c r="X237" s="294"/>
      <c r="Y237" s="295"/>
      <c r="Z237" s="294"/>
      <c r="AA237" s="295"/>
      <c r="AB237" s="270" t="s">
        <v>2066</v>
      </c>
      <c r="AC237" s="250"/>
      <c r="AD237" s="250"/>
      <c r="AE237" s="250"/>
      <c r="AF237" s="250"/>
      <c r="AG237" s="250"/>
      <c r="AH237" s="250"/>
      <c r="AI237" s="250"/>
      <c r="AJ237" s="250"/>
      <c r="AK237" s="261">
        <v>4300</v>
      </c>
      <c r="AL237" s="250" t="s">
        <v>2067</v>
      </c>
      <c r="AM237" s="25" t="s">
        <v>2062</v>
      </c>
      <c r="AN237" s="250" t="s">
        <v>2067</v>
      </c>
      <c r="AO237" s="250"/>
      <c r="AP237" s="250" t="s">
        <v>2068</v>
      </c>
      <c r="AQ237" s="250" t="s">
        <v>2069</v>
      </c>
      <c r="AR237" s="157">
        <v>25.57</v>
      </c>
      <c r="AS237" s="282" t="s">
        <v>2070</v>
      </c>
      <c r="AT237" s="282" t="s">
        <v>2071</v>
      </c>
      <c r="AU237" s="282"/>
      <c r="AV237" s="282"/>
      <c r="AW237" s="282"/>
      <c r="AX237" s="282"/>
      <c r="AY237" s="282"/>
      <c r="AZ237" s="282"/>
      <c r="BA237" s="397" t="s">
        <v>1505</v>
      </c>
      <c r="BB237" s="398"/>
      <c r="BC237" s="398"/>
      <c r="BD237" s="398"/>
      <c r="BE237" s="398"/>
      <c r="BF237" s="259">
        <v>12</v>
      </c>
      <c r="BG237" s="259">
        <v>10.37</v>
      </c>
      <c r="BH237" s="259">
        <v>10.62</v>
      </c>
      <c r="BI237" s="111">
        <f t="shared" si="67"/>
        <v>0.76478749999999995</v>
      </c>
      <c r="BJ237" s="259">
        <v>1.9</v>
      </c>
      <c r="BK237" s="342"/>
      <c r="BL237" s="342"/>
      <c r="BM237" s="250" t="s">
        <v>764</v>
      </c>
      <c r="BN237" s="251">
        <v>6</v>
      </c>
      <c r="BO237" s="251">
        <v>12</v>
      </c>
      <c r="BP237" s="251">
        <v>4</v>
      </c>
      <c r="BQ237" s="27">
        <f t="shared" si="68"/>
        <v>288</v>
      </c>
      <c r="BR237" s="27">
        <f t="shared" si="69"/>
        <v>141.19999999999999</v>
      </c>
      <c r="BS237" s="27" t="s">
        <v>769</v>
      </c>
      <c r="BT237" s="27" t="s">
        <v>766</v>
      </c>
      <c r="BU237" s="14"/>
      <c r="BV237" s="14"/>
      <c r="BW237" s="14"/>
      <c r="BX237" s="299"/>
      <c r="BY237" s="299"/>
      <c r="BZ237" s="299"/>
      <c r="CA237" s="299"/>
      <c r="CB237" s="299"/>
      <c r="CC237" s="299"/>
      <c r="CD237" s="299"/>
      <c r="CE237" s="299"/>
    </row>
    <row r="238" spans="1:83" s="300" customFormat="1" ht="30" x14ac:dyDescent="0.25">
      <c r="A238" s="278">
        <v>41699</v>
      </c>
      <c r="B238" s="278"/>
      <c r="C238" s="251" t="s">
        <v>2072</v>
      </c>
      <c r="D238" s="251" t="s">
        <v>735</v>
      </c>
      <c r="E238" s="296" t="s">
        <v>1984</v>
      </c>
      <c r="F238" s="270" t="s">
        <v>2073</v>
      </c>
      <c r="G238" s="261" t="s">
        <v>754</v>
      </c>
      <c r="H238" s="274">
        <v>64316945586</v>
      </c>
      <c r="I238" s="201"/>
      <c r="J238" s="25"/>
      <c r="K238" s="25"/>
      <c r="L238" s="26"/>
      <c r="M238" s="261"/>
      <c r="N238" s="261"/>
      <c r="O238" s="261"/>
      <c r="P238" s="261"/>
      <c r="Q238" s="261"/>
      <c r="R238" s="261"/>
      <c r="S238" s="261"/>
      <c r="T238" s="261"/>
      <c r="U238" s="294"/>
      <c r="V238" s="294"/>
      <c r="W238" s="25">
        <v>83585</v>
      </c>
      <c r="X238" s="294"/>
      <c r="Y238" s="295"/>
      <c r="Z238" s="294"/>
      <c r="AA238" s="295"/>
      <c r="AB238" s="250"/>
      <c r="AC238" s="158" t="s">
        <v>2074</v>
      </c>
      <c r="AD238" s="25" t="s">
        <v>2075</v>
      </c>
      <c r="AE238" s="250"/>
      <c r="AF238" s="250"/>
      <c r="AG238" s="250"/>
      <c r="AH238" s="25" t="s">
        <v>2076</v>
      </c>
      <c r="AI238" s="250"/>
      <c r="AJ238" s="250"/>
      <c r="AK238" s="25" t="s">
        <v>2077</v>
      </c>
      <c r="AL238" s="250" t="s">
        <v>2078</v>
      </c>
      <c r="AM238" s="250"/>
      <c r="AN238" s="250"/>
      <c r="AO238" s="250"/>
      <c r="AP238" s="250"/>
      <c r="AQ238" s="250" t="s">
        <v>2079</v>
      </c>
      <c r="AR238" s="157">
        <v>72.489999999999995</v>
      </c>
      <c r="AS238" s="282" t="s">
        <v>2080</v>
      </c>
      <c r="AT238" s="282" t="s">
        <v>2081</v>
      </c>
      <c r="AU238" s="282"/>
      <c r="AV238" s="282"/>
      <c r="AW238" s="282"/>
      <c r="AX238" s="282"/>
      <c r="AY238" s="282"/>
      <c r="AZ238" s="282"/>
      <c r="BA238" s="397" t="s">
        <v>1505</v>
      </c>
      <c r="BB238" s="398"/>
      <c r="BC238" s="398"/>
      <c r="BD238" s="398"/>
      <c r="BE238" s="398"/>
      <c r="BF238" s="259">
        <v>16.37</v>
      </c>
      <c r="BG238" s="259">
        <v>12.5</v>
      </c>
      <c r="BH238" s="259">
        <v>12.75</v>
      </c>
      <c r="BI238" s="111">
        <f t="shared" si="67"/>
        <v>1.5098198784722223</v>
      </c>
      <c r="BJ238" s="259">
        <v>6.58</v>
      </c>
      <c r="BK238" s="342"/>
      <c r="BL238" s="342"/>
      <c r="BM238" s="250" t="s">
        <v>764</v>
      </c>
      <c r="BN238" s="251">
        <v>6</v>
      </c>
      <c r="BO238" s="251">
        <v>8</v>
      </c>
      <c r="BP238" s="251">
        <v>3</v>
      </c>
      <c r="BQ238" s="27">
        <f t="shared" si="68"/>
        <v>144</v>
      </c>
      <c r="BR238" s="27">
        <f t="shared" si="69"/>
        <v>207.92000000000002</v>
      </c>
      <c r="BS238" s="27" t="s">
        <v>769</v>
      </c>
      <c r="BT238" s="27" t="s">
        <v>766</v>
      </c>
      <c r="BU238" s="14"/>
      <c r="BV238" s="14"/>
      <c r="BW238" s="14"/>
      <c r="BX238" s="299"/>
      <c r="BY238" s="299"/>
      <c r="BZ238" s="299"/>
      <c r="CA238" s="299"/>
      <c r="CB238" s="299"/>
      <c r="CC238" s="299"/>
      <c r="CD238" s="299"/>
      <c r="CE238" s="299"/>
    </row>
    <row r="239" spans="1:83" s="300" customFormat="1" ht="30" x14ac:dyDescent="0.25">
      <c r="A239" s="278">
        <v>41699</v>
      </c>
      <c r="B239" s="278"/>
      <c r="C239" s="251" t="s">
        <v>2082</v>
      </c>
      <c r="D239" s="251" t="s">
        <v>735</v>
      </c>
      <c r="E239" s="296" t="s">
        <v>1861</v>
      </c>
      <c r="F239" s="270" t="s">
        <v>2083</v>
      </c>
      <c r="G239" s="261" t="s">
        <v>759</v>
      </c>
      <c r="H239" s="274" t="s">
        <v>2084</v>
      </c>
      <c r="I239" s="201"/>
      <c r="J239" s="25"/>
      <c r="K239" s="25"/>
      <c r="L239" s="26"/>
      <c r="M239" s="261"/>
      <c r="N239" s="261"/>
      <c r="O239" s="261"/>
      <c r="P239" s="261"/>
      <c r="Q239" s="261"/>
      <c r="R239" s="261"/>
      <c r="S239" s="261"/>
      <c r="T239" s="261"/>
      <c r="U239" s="294"/>
      <c r="V239" s="294"/>
      <c r="W239" s="25"/>
      <c r="X239" s="294"/>
      <c r="Y239" s="295"/>
      <c r="Z239" s="294"/>
      <c r="AA239" s="295"/>
      <c r="AB239" s="270" t="s">
        <v>2085</v>
      </c>
      <c r="AC239" s="250"/>
      <c r="AD239" s="250" t="s">
        <v>2086</v>
      </c>
      <c r="AE239" s="250"/>
      <c r="AF239" s="250"/>
      <c r="AG239" s="250"/>
      <c r="AH239" s="250" t="s">
        <v>2087</v>
      </c>
      <c r="AI239" s="250"/>
      <c r="AJ239" s="250"/>
      <c r="AK239" s="261"/>
      <c r="AL239" s="250" t="s">
        <v>2088</v>
      </c>
      <c r="AM239" s="250"/>
      <c r="AN239" s="250" t="s">
        <v>2089</v>
      </c>
      <c r="AO239" s="250"/>
      <c r="AP239" s="250" t="s">
        <v>2090</v>
      </c>
      <c r="AQ239" s="250"/>
      <c r="AR239" s="157">
        <v>34.69</v>
      </c>
      <c r="AS239" s="282" t="s">
        <v>2091</v>
      </c>
      <c r="AT239" s="282" t="s">
        <v>2092</v>
      </c>
      <c r="AU239" s="282"/>
      <c r="AV239" s="282"/>
      <c r="AW239" s="282"/>
      <c r="AX239" s="282"/>
      <c r="AY239" s="282"/>
      <c r="AZ239" s="282"/>
      <c r="BA239" s="259">
        <v>2.9060000000000001</v>
      </c>
      <c r="BB239" s="259">
        <v>2.9060000000000001</v>
      </c>
      <c r="BC239" s="259">
        <v>6.6920000000000002</v>
      </c>
      <c r="BD239" s="111">
        <f>(BC239*BB239*BA239)/1728</f>
        <v>3.2704191268518527E-2</v>
      </c>
      <c r="BE239" s="259">
        <v>0.6</v>
      </c>
      <c r="BF239" s="259">
        <v>9.3800000000000008</v>
      </c>
      <c r="BG239" s="259">
        <v>6.5</v>
      </c>
      <c r="BH239" s="259">
        <v>7.38</v>
      </c>
      <c r="BI239" s="111">
        <f t="shared" si="67"/>
        <v>0.26039270833333333</v>
      </c>
      <c r="BJ239" s="259">
        <f>BE239*BN239+0.25</f>
        <v>3.8499999999999996</v>
      </c>
      <c r="BK239" s="342"/>
      <c r="BL239" s="342"/>
      <c r="BM239" s="250" t="s">
        <v>764</v>
      </c>
      <c r="BN239" s="251">
        <v>6</v>
      </c>
      <c r="BO239" s="251">
        <v>30</v>
      </c>
      <c r="BP239" s="251">
        <v>6</v>
      </c>
      <c r="BQ239" s="27">
        <f t="shared" si="68"/>
        <v>1080</v>
      </c>
      <c r="BR239" s="27">
        <f t="shared" si="69"/>
        <v>742.99999999999989</v>
      </c>
      <c r="BS239" s="27" t="s">
        <v>951</v>
      </c>
      <c r="BT239" s="27" t="s">
        <v>766</v>
      </c>
      <c r="BU239" s="14"/>
      <c r="BV239" s="14"/>
      <c r="BW239" s="14"/>
      <c r="BX239" s="299"/>
      <c r="BY239" s="299"/>
      <c r="BZ239" s="299"/>
      <c r="CA239" s="299"/>
      <c r="CB239" s="299"/>
      <c r="CC239" s="299"/>
      <c r="CD239" s="299"/>
      <c r="CE239" s="299"/>
    </row>
    <row r="240" spans="1:83" s="300" customFormat="1" x14ac:dyDescent="0.25">
      <c r="A240" s="278">
        <v>41699</v>
      </c>
      <c r="B240" s="278"/>
      <c r="C240" s="250" t="s">
        <v>2093</v>
      </c>
      <c r="D240" s="251" t="s">
        <v>735</v>
      </c>
      <c r="E240" s="296" t="s">
        <v>1887</v>
      </c>
      <c r="F240" s="274" t="s">
        <v>2094</v>
      </c>
      <c r="G240" s="261" t="s">
        <v>865</v>
      </c>
      <c r="H240" s="250" t="s">
        <v>2095</v>
      </c>
      <c r="I240" s="201"/>
      <c r="J240" s="25"/>
      <c r="K240" s="25"/>
      <c r="L240" s="26"/>
      <c r="M240" s="261"/>
      <c r="N240" s="261"/>
      <c r="O240" s="261"/>
      <c r="P240" s="261"/>
      <c r="Q240" s="261"/>
      <c r="R240" s="261"/>
      <c r="S240" s="261"/>
      <c r="T240" s="261"/>
      <c r="U240" s="294"/>
      <c r="V240" s="294"/>
      <c r="W240" s="25">
        <v>83390</v>
      </c>
      <c r="X240" s="294"/>
      <c r="Y240" s="295"/>
      <c r="Z240" s="294"/>
      <c r="AA240" s="295"/>
      <c r="AB240" s="250" t="s">
        <v>2096</v>
      </c>
      <c r="AC240" s="158" t="s">
        <v>2097</v>
      </c>
      <c r="AD240" s="250"/>
      <c r="AE240" s="250" t="s">
        <v>2098</v>
      </c>
      <c r="AF240" s="250"/>
      <c r="AG240" s="250"/>
      <c r="AH240" s="250"/>
      <c r="AI240" s="250"/>
      <c r="AJ240" s="250"/>
      <c r="AK240" s="261">
        <v>9390</v>
      </c>
      <c r="AL240" s="250" t="s">
        <v>2099</v>
      </c>
      <c r="AM240" s="250"/>
      <c r="AN240" s="250" t="s">
        <v>2100</v>
      </c>
      <c r="AO240" s="250"/>
      <c r="AP240" s="250" t="s">
        <v>2101</v>
      </c>
      <c r="AQ240" s="158" t="s">
        <v>2102</v>
      </c>
      <c r="AR240" s="157">
        <v>33.74</v>
      </c>
      <c r="AS240" s="282" t="s">
        <v>2103</v>
      </c>
      <c r="AT240" s="282" t="s">
        <v>2104</v>
      </c>
      <c r="AU240" s="282"/>
      <c r="AV240" s="282"/>
      <c r="AW240" s="282"/>
      <c r="AX240" s="282"/>
      <c r="AY240" s="282"/>
      <c r="AZ240" s="282"/>
      <c r="BA240" s="259">
        <v>7.7859999999999996</v>
      </c>
      <c r="BB240" s="259">
        <v>2.536</v>
      </c>
      <c r="BC240" s="259">
        <v>9.0719999999999992</v>
      </c>
      <c r="BD240" s="111">
        <f>(BC240*BB240*BA240)/1728</f>
        <v>0.10366280399999998</v>
      </c>
      <c r="BE240" s="113">
        <v>0.46400000000000002</v>
      </c>
      <c r="BF240" s="113">
        <v>9.75</v>
      </c>
      <c r="BG240" s="113">
        <v>8.18</v>
      </c>
      <c r="BH240" s="113">
        <v>8.5</v>
      </c>
      <c r="BI240" s="111">
        <f t="shared" si="67"/>
        <v>0.39231336805555556</v>
      </c>
      <c r="BJ240" s="259">
        <f>BE240*BN240+0.25</f>
        <v>1.6420000000000001</v>
      </c>
      <c r="BK240" s="342"/>
      <c r="BL240" s="342"/>
      <c r="BM240" s="250" t="s">
        <v>764</v>
      </c>
      <c r="BN240" s="251">
        <v>3</v>
      </c>
      <c r="BO240" s="251">
        <v>20</v>
      </c>
      <c r="BP240" s="251">
        <v>5</v>
      </c>
      <c r="BQ240" s="27">
        <f t="shared" si="68"/>
        <v>300</v>
      </c>
      <c r="BR240" s="27">
        <f t="shared" si="69"/>
        <v>214.20000000000002</v>
      </c>
      <c r="BS240" s="27" t="s">
        <v>769</v>
      </c>
      <c r="BT240" s="27" t="s">
        <v>766</v>
      </c>
      <c r="BU240" s="14"/>
      <c r="BV240" s="14"/>
      <c r="BW240" s="14"/>
      <c r="BX240" s="299"/>
      <c r="BY240" s="299"/>
      <c r="BZ240" s="299"/>
      <c r="CA240" s="299"/>
      <c r="CB240" s="299"/>
      <c r="CC240" s="299"/>
      <c r="CD240" s="299"/>
      <c r="CE240" s="299"/>
    </row>
    <row r="241" spans="1:83" s="300" customFormat="1" x14ac:dyDescent="0.25">
      <c r="A241" s="278">
        <v>41699</v>
      </c>
      <c r="B241" s="278"/>
      <c r="C241" s="250" t="s">
        <v>2105</v>
      </c>
      <c r="D241" s="251" t="s">
        <v>735</v>
      </c>
      <c r="E241" s="296" t="s">
        <v>1887</v>
      </c>
      <c r="F241" s="270" t="s">
        <v>2106</v>
      </c>
      <c r="G241" s="261" t="s">
        <v>737</v>
      </c>
      <c r="H241" s="251">
        <v>15909459</v>
      </c>
      <c r="I241" s="261" t="s">
        <v>737</v>
      </c>
      <c r="J241" s="251">
        <v>20774655</v>
      </c>
      <c r="K241" s="201" t="s">
        <v>738</v>
      </c>
      <c r="L241" s="25" t="s">
        <v>2107</v>
      </c>
      <c r="M241" s="261"/>
      <c r="N241" s="261"/>
      <c r="O241" s="261"/>
      <c r="P241" s="261"/>
      <c r="Q241" s="261"/>
      <c r="R241" s="261"/>
      <c r="S241" s="261"/>
      <c r="T241" s="261"/>
      <c r="U241" s="294"/>
      <c r="V241" s="294"/>
      <c r="W241" s="25">
        <v>83459</v>
      </c>
      <c r="X241" s="294"/>
      <c r="Y241" s="295"/>
      <c r="Z241" s="294"/>
      <c r="AA241" s="295"/>
      <c r="AB241" s="251" t="s">
        <v>2108</v>
      </c>
      <c r="AC241" s="251" t="s">
        <v>2109</v>
      </c>
      <c r="AD241" s="251"/>
      <c r="AE241" s="251"/>
      <c r="AF241" s="251"/>
      <c r="AG241" s="251"/>
      <c r="AH241" s="251"/>
      <c r="AI241" s="251"/>
      <c r="AJ241" s="251"/>
      <c r="AK241" s="261">
        <v>9459</v>
      </c>
      <c r="AL241" s="251" t="s">
        <v>2110</v>
      </c>
      <c r="AM241" s="251" t="s">
        <v>2111</v>
      </c>
      <c r="AN241" s="251" t="s">
        <v>2112</v>
      </c>
      <c r="AO241" s="251"/>
      <c r="AP241" s="251" t="s">
        <v>2113</v>
      </c>
      <c r="AQ241" s="251">
        <v>49459</v>
      </c>
      <c r="AR241" s="157">
        <v>54.95</v>
      </c>
      <c r="AS241" s="282" t="s">
        <v>2114</v>
      </c>
      <c r="AT241" s="282" t="s">
        <v>2115</v>
      </c>
      <c r="AU241" s="282"/>
      <c r="AV241" s="282"/>
      <c r="AW241" s="282"/>
      <c r="AX241" s="282"/>
      <c r="AY241" s="282"/>
      <c r="AZ241" s="282"/>
      <c r="BA241" s="259">
        <v>4.6559999999999997</v>
      </c>
      <c r="BB241" s="259">
        <v>4.6559999999999997</v>
      </c>
      <c r="BC241" s="259">
        <v>8.8219999999999992</v>
      </c>
      <c r="BD241" s="111">
        <f>(BC241*BB241*BA241)/1728</f>
        <v>0.11067493066666663</v>
      </c>
      <c r="BE241" s="113">
        <v>1.6</v>
      </c>
      <c r="BF241" s="113">
        <v>15.305999999999999</v>
      </c>
      <c r="BG241" s="113">
        <v>9.3059999999999992</v>
      </c>
      <c r="BH241" s="113">
        <v>5.7320000000000002</v>
      </c>
      <c r="BI241" s="111">
        <f t="shared" si="67"/>
        <v>0.47248410274999991</v>
      </c>
      <c r="BJ241" s="113">
        <f>BE241*BN241+0.25</f>
        <v>5.0500000000000007</v>
      </c>
      <c r="BK241" s="341"/>
      <c r="BL241" s="341"/>
      <c r="BM241" s="250" t="s">
        <v>764</v>
      </c>
      <c r="BN241" s="251">
        <v>3</v>
      </c>
      <c r="BO241" s="251">
        <v>13</v>
      </c>
      <c r="BP241" s="251">
        <v>8</v>
      </c>
      <c r="BQ241" s="27">
        <f t="shared" si="68"/>
        <v>312</v>
      </c>
      <c r="BR241" s="27">
        <f t="shared" si="69"/>
        <v>575.20000000000005</v>
      </c>
      <c r="BS241" s="27" t="s">
        <v>886</v>
      </c>
      <c r="BT241" s="27" t="s">
        <v>766</v>
      </c>
      <c r="BU241" s="14"/>
      <c r="BV241" s="14"/>
      <c r="BW241" s="14"/>
      <c r="BX241" s="299"/>
      <c r="BY241" s="299"/>
      <c r="BZ241" s="299"/>
      <c r="CA241" s="299"/>
      <c r="CB241" s="299"/>
      <c r="CC241" s="299"/>
      <c r="CD241" s="299"/>
      <c r="CE241" s="299"/>
    </row>
    <row r="242" spans="1:83" s="300" customFormat="1" ht="30" x14ac:dyDescent="0.25">
      <c r="A242" s="278">
        <v>41699</v>
      </c>
      <c r="B242" s="278"/>
      <c r="C242" s="250" t="s">
        <v>2116</v>
      </c>
      <c r="D242" s="251" t="s">
        <v>60</v>
      </c>
      <c r="E242" s="296" t="s">
        <v>1887</v>
      </c>
      <c r="F242" s="274" t="s">
        <v>2117</v>
      </c>
      <c r="G242" s="251" t="s">
        <v>720</v>
      </c>
      <c r="H242" s="251" t="s">
        <v>2118</v>
      </c>
      <c r="I242" s="201" t="s">
        <v>2119</v>
      </c>
      <c r="J242" s="25" t="s">
        <v>2120</v>
      </c>
      <c r="K242" s="25" t="s">
        <v>49</v>
      </c>
      <c r="L242" s="26" t="s">
        <v>2121</v>
      </c>
      <c r="M242" s="261"/>
      <c r="N242" s="261"/>
      <c r="O242" s="261"/>
      <c r="P242" s="261"/>
      <c r="Q242" s="261"/>
      <c r="R242" s="261"/>
      <c r="S242" s="261"/>
      <c r="T242" s="261"/>
      <c r="U242" s="294"/>
      <c r="V242" s="294"/>
      <c r="W242" s="25"/>
      <c r="X242" s="294"/>
      <c r="Y242" s="295"/>
      <c r="Z242" s="294"/>
      <c r="AA242" s="295"/>
      <c r="AB242" s="251"/>
      <c r="AC242" s="251"/>
      <c r="AD242" s="251"/>
      <c r="AE242" s="251"/>
      <c r="AF242" s="251"/>
      <c r="AG242" s="251"/>
      <c r="AH242" s="251"/>
      <c r="AI242" s="251"/>
      <c r="AJ242" s="251"/>
      <c r="AK242" s="261"/>
      <c r="AL242" s="251"/>
      <c r="AM242" s="251"/>
      <c r="AN242" s="251" t="s">
        <v>2122</v>
      </c>
      <c r="AO242" s="251"/>
      <c r="AP242" s="251" t="s">
        <v>2122</v>
      </c>
      <c r="AQ242" s="251"/>
      <c r="AR242" s="157">
        <v>26.63</v>
      </c>
      <c r="AS242" s="282" t="s">
        <v>2123</v>
      </c>
      <c r="AT242" s="282" t="s">
        <v>2124</v>
      </c>
      <c r="AU242" s="282"/>
      <c r="AV242" s="282"/>
      <c r="AW242" s="282"/>
      <c r="AX242" s="282"/>
      <c r="AY242" s="282"/>
      <c r="AZ242" s="282"/>
      <c r="BA242" s="259">
        <v>6.7859999999999996</v>
      </c>
      <c r="BB242" s="259">
        <v>4.9059999999999997</v>
      </c>
      <c r="BC242" s="259">
        <v>8.5719999999999992</v>
      </c>
      <c r="BD242" s="111">
        <f>(BC242*BB242*BA242)/1728</f>
        <v>0.16515047358333329</v>
      </c>
      <c r="BE242" s="113">
        <v>0.2</v>
      </c>
      <c r="BF242" s="113">
        <v>15.38</v>
      </c>
      <c r="BG242" s="113">
        <v>7.25</v>
      </c>
      <c r="BH242" s="113">
        <v>9.1199999999999992</v>
      </c>
      <c r="BI242" s="111">
        <f t="shared" si="67"/>
        <v>0.58849861111111101</v>
      </c>
      <c r="BJ242" s="113">
        <f>BE242*BN242+0.25</f>
        <v>0.85000000000000009</v>
      </c>
      <c r="BK242" s="341"/>
      <c r="BL242" s="341"/>
      <c r="BM242" s="250" t="s">
        <v>764</v>
      </c>
      <c r="BN242" s="251">
        <v>3</v>
      </c>
      <c r="BO242" s="251">
        <v>15</v>
      </c>
      <c r="BP242" s="251">
        <v>4</v>
      </c>
      <c r="BQ242" s="27">
        <f t="shared" si="68"/>
        <v>180</v>
      </c>
      <c r="BR242" s="27">
        <f t="shared" si="69"/>
        <v>101</v>
      </c>
      <c r="BS242" s="27" t="s">
        <v>886</v>
      </c>
      <c r="BT242" s="27" t="s">
        <v>766</v>
      </c>
      <c r="BU242" s="14"/>
      <c r="BV242" s="14"/>
      <c r="BW242" s="14"/>
      <c r="BX242" s="299"/>
      <c r="BY242" s="299"/>
      <c r="BZ242" s="299"/>
      <c r="CA242" s="299"/>
      <c r="CB242" s="299"/>
      <c r="CC242" s="299"/>
      <c r="CD242" s="299"/>
      <c r="CE242" s="299"/>
    </row>
    <row r="243" spans="1:83" s="300" customFormat="1" ht="30" x14ac:dyDescent="0.25">
      <c r="A243" s="278">
        <v>41699</v>
      </c>
      <c r="B243" s="278"/>
      <c r="C243" s="250" t="s">
        <v>2125</v>
      </c>
      <c r="D243" s="251" t="s">
        <v>735</v>
      </c>
      <c r="E243" s="296" t="s">
        <v>1984</v>
      </c>
      <c r="F243" s="290" t="s">
        <v>2126</v>
      </c>
      <c r="G243" s="262" t="s">
        <v>963</v>
      </c>
      <c r="H243" s="31" t="s">
        <v>2127</v>
      </c>
      <c r="I243" s="262" t="s">
        <v>963</v>
      </c>
      <c r="J243" s="25" t="s">
        <v>2128</v>
      </c>
      <c r="K243" s="25"/>
      <c r="L243" s="26"/>
      <c r="M243" s="261"/>
      <c r="N243" s="261"/>
      <c r="O243" s="261"/>
      <c r="P243" s="261"/>
      <c r="Q243" s="261"/>
      <c r="R243" s="261"/>
      <c r="S243" s="261"/>
      <c r="T243" s="261"/>
      <c r="U243" s="294"/>
      <c r="V243" s="294"/>
      <c r="W243" s="25">
        <v>83093</v>
      </c>
      <c r="X243" s="294"/>
      <c r="Y243" s="295"/>
      <c r="Z243" s="294"/>
      <c r="AA243" s="295"/>
      <c r="AB243" s="250" t="s">
        <v>2129</v>
      </c>
      <c r="AC243" s="158" t="s">
        <v>2130</v>
      </c>
      <c r="AD243" s="250"/>
      <c r="AE243" s="250"/>
      <c r="AF243" s="250"/>
      <c r="AG243" s="250"/>
      <c r="AH243" s="250" t="s">
        <v>2131</v>
      </c>
      <c r="AI243" s="250"/>
      <c r="AJ243" s="250"/>
      <c r="AK243" s="261">
        <v>9093</v>
      </c>
      <c r="AL243" s="250" t="s">
        <v>2132</v>
      </c>
      <c r="AM243" s="250" t="s">
        <v>2125</v>
      </c>
      <c r="AN243" s="250" t="s">
        <v>2132</v>
      </c>
      <c r="AO243" s="250"/>
      <c r="AP243" s="250" t="s">
        <v>2133</v>
      </c>
      <c r="AQ243" s="250" t="s">
        <v>2134</v>
      </c>
      <c r="AR243" s="157">
        <v>27.57</v>
      </c>
      <c r="AS243" s="282" t="s">
        <v>2135</v>
      </c>
      <c r="AT243" s="282" t="s">
        <v>2136</v>
      </c>
      <c r="AU243" s="282"/>
      <c r="AV243" s="282"/>
      <c r="AW243" s="282"/>
      <c r="AX243" s="282"/>
      <c r="AY243" s="282"/>
      <c r="AZ243" s="282"/>
      <c r="BA243" s="397" t="s">
        <v>1505</v>
      </c>
      <c r="BB243" s="398"/>
      <c r="BC243" s="398"/>
      <c r="BD243" s="398"/>
      <c r="BE243" s="398"/>
      <c r="BF243" s="113">
        <v>4.12</v>
      </c>
      <c r="BG243" s="113">
        <v>6.25</v>
      </c>
      <c r="BH243" s="113">
        <v>9.25</v>
      </c>
      <c r="BI243" s="111">
        <f t="shared" si="67"/>
        <v>0.13783998842592593</v>
      </c>
      <c r="BJ243" s="113">
        <v>1.6300000000000001</v>
      </c>
      <c r="BK243" s="341"/>
      <c r="BL243" s="341"/>
      <c r="BM243" s="250" t="s">
        <v>764</v>
      </c>
      <c r="BN243" s="251">
        <v>6</v>
      </c>
      <c r="BO243" s="251">
        <v>30</v>
      </c>
      <c r="BP243" s="251">
        <v>10</v>
      </c>
      <c r="BQ243" s="27">
        <f t="shared" si="68"/>
        <v>1800</v>
      </c>
      <c r="BR243" s="27">
        <f t="shared" si="69"/>
        <v>539</v>
      </c>
      <c r="BS243" s="27" t="s">
        <v>769</v>
      </c>
      <c r="BT243" s="27" t="s">
        <v>766</v>
      </c>
      <c r="BU243" s="14"/>
      <c r="BV243" s="14"/>
      <c r="BW243" s="14"/>
      <c r="BX243" s="299"/>
      <c r="BY243" s="299"/>
      <c r="BZ243" s="299"/>
      <c r="CA243" s="299"/>
      <c r="CB243" s="299"/>
      <c r="CC243" s="299"/>
      <c r="CD243" s="299"/>
      <c r="CE243" s="299"/>
    </row>
    <row r="244" spans="1:83" s="300" customFormat="1" ht="30" customHeight="1" x14ac:dyDescent="0.25">
      <c r="A244" s="278">
        <v>41685</v>
      </c>
      <c r="B244" s="278"/>
      <c r="C244" s="250" t="s">
        <v>2137</v>
      </c>
      <c r="D244" s="250" t="s">
        <v>60</v>
      </c>
      <c r="E244" s="250" t="s">
        <v>2138</v>
      </c>
      <c r="F244" s="301" t="s">
        <v>2139</v>
      </c>
      <c r="G244" s="218" t="s">
        <v>980</v>
      </c>
      <c r="H244" s="218" t="s">
        <v>2140</v>
      </c>
      <c r="I244" s="25" t="s">
        <v>2141</v>
      </c>
      <c r="J244" s="25" t="s">
        <v>2142</v>
      </c>
      <c r="K244" s="25"/>
      <c r="L244" s="26"/>
      <c r="M244" s="275"/>
      <c r="N244" s="275"/>
      <c r="O244" s="261"/>
      <c r="P244" s="261"/>
      <c r="Q244" s="261"/>
      <c r="R244" s="261"/>
      <c r="S244" s="261"/>
      <c r="T244" s="261"/>
      <c r="U244" s="294" t="s">
        <v>2143</v>
      </c>
      <c r="V244" s="294"/>
      <c r="W244" s="25">
        <v>83203</v>
      </c>
      <c r="X244" s="294"/>
      <c r="Y244" s="295" t="s">
        <v>2144</v>
      </c>
      <c r="Z244" s="294"/>
      <c r="AA244" s="295" t="s">
        <v>2145</v>
      </c>
      <c r="AB244" s="295"/>
      <c r="AC244" s="294"/>
      <c r="AD244" s="294"/>
      <c r="AE244" s="294"/>
      <c r="AF244" s="294"/>
      <c r="AG244" s="294"/>
      <c r="AH244" s="261"/>
      <c r="AI244" s="294"/>
      <c r="AJ244" s="294"/>
      <c r="AK244" s="294">
        <v>9203</v>
      </c>
      <c r="AL244" s="294"/>
      <c r="AM244" s="294"/>
      <c r="AN244" s="294"/>
      <c r="AO244" s="294"/>
      <c r="AP244" s="294"/>
      <c r="AQ244" s="294" t="s">
        <v>2146</v>
      </c>
      <c r="AR244" s="157">
        <v>84.86</v>
      </c>
      <c r="AS244" s="282" t="s">
        <v>2147</v>
      </c>
      <c r="AT244" s="282" t="s">
        <v>2148</v>
      </c>
      <c r="AU244" s="282"/>
      <c r="AV244" s="282"/>
      <c r="AW244" s="282"/>
      <c r="AX244" s="282"/>
      <c r="AY244" s="282"/>
      <c r="AZ244" s="282"/>
      <c r="BA244" s="396" t="s">
        <v>985</v>
      </c>
      <c r="BB244" s="396"/>
      <c r="BC244" s="396"/>
      <c r="BD244" s="396"/>
      <c r="BE244" s="396"/>
      <c r="BF244" s="113">
        <v>12.680999999999999</v>
      </c>
      <c r="BG244" s="113">
        <v>12.680999999999999</v>
      </c>
      <c r="BH244" s="113">
        <v>14.362</v>
      </c>
      <c r="BI244" s="111">
        <f t="shared" si="67"/>
        <v>1.3365283932187497</v>
      </c>
      <c r="BJ244" s="113">
        <f>0.75+0.4</f>
        <v>1.1499999999999999</v>
      </c>
      <c r="BK244" s="341"/>
      <c r="BL244" s="341"/>
      <c r="BM244" s="250" t="s">
        <v>764</v>
      </c>
      <c r="BN244" s="250">
        <v>1</v>
      </c>
      <c r="BO244" s="250">
        <v>9</v>
      </c>
      <c r="BP244" s="250">
        <v>3</v>
      </c>
      <c r="BQ244" s="27">
        <f t="shared" si="68"/>
        <v>27</v>
      </c>
      <c r="BR244" s="27">
        <f t="shared" si="69"/>
        <v>81.05</v>
      </c>
      <c r="BS244" s="27" t="s">
        <v>886</v>
      </c>
      <c r="BT244" s="27" t="s">
        <v>766</v>
      </c>
      <c r="BU244" s="14"/>
      <c r="BV244" s="14"/>
      <c r="BW244" s="14"/>
      <c r="BX244" s="299"/>
      <c r="BY244" s="299"/>
      <c r="BZ244" s="299"/>
      <c r="CA244" s="299"/>
      <c r="CB244" s="299"/>
      <c r="CC244" s="299"/>
      <c r="CD244" s="299"/>
      <c r="CE244" s="299"/>
    </row>
    <row r="245" spans="1:83" s="300" customFormat="1" x14ac:dyDescent="0.25">
      <c r="A245" s="278">
        <v>41685</v>
      </c>
      <c r="B245" s="278"/>
      <c r="C245" s="250" t="s">
        <v>2149</v>
      </c>
      <c r="D245" s="250" t="s">
        <v>60</v>
      </c>
      <c r="E245" s="250" t="s">
        <v>2150</v>
      </c>
      <c r="F245" s="301" t="s">
        <v>2151</v>
      </c>
      <c r="G245" s="261" t="s">
        <v>50</v>
      </c>
      <c r="H245" s="253" t="s">
        <v>2152</v>
      </c>
      <c r="I245" s="25" t="s">
        <v>2153</v>
      </c>
      <c r="J245" s="25" t="s">
        <v>2154</v>
      </c>
      <c r="K245" s="25" t="s">
        <v>1351</v>
      </c>
      <c r="L245" s="26">
        <v>11988962</v>
      </c>
      <c r="M245" s="25" t="s">
        <v>1351</v>
      </c>
      <c r="N245" s="26">
        <v>11708554</v>
      </c>
      <c r="O245" s="261"/>
      <c r="P245" s="261"/>
      <c r="Q245" s="261"/>
      <c r="R245" s="261"/>
      <c r="S245" s="261"/>
      <c r="T245" s="261"/>
      <c r="U245" s="294" t="s">
        <v>2155</v>
      </c>
      <c r="V245" s="294"/>
      <c r="W245" s="25">
        <v>86716</v>
      </c>
      <c r="X245" s="294"/>
      <c r="Y245" s="295" t="s">
        <v>2156</v>
      </c>
      <c r="Z245" s="294"/>
      <c r="AA245" s="295" t="s">
        <v>2157</v>
      </c>
      <c r="AB245" s="295"/>
      <c r="AC245" s="294"/>
      <c r="AD245" s="294" t="s">
        <v>2152</v>
      </c>
      <c r="AE245" s="294"/>
      <c r="AF245" s="294"/>
      <c r="AG245" s="294"/>
      <c r="AH245" s="294" t="s">
        <v>2154</v>
      </c>
      <c r="AI245" s="294"/>
      <c r="AJ245" s="294"/>
      <c r="AK245" s="294">
        <v>3716</v>
      </c>
      <c r="AL245" s="294"/>
      <c r="AM245" s="294"/>
      <c r="AN245" s="294"/>
      <c r="AO245" s="294"/>
      <c r="AP245" s="294"/>
      <c r="AQ245" s="294" t="s">
        <v>2158</v>
      </c>
      <c r="AR245" s="157">
        <v>29.34</v>
      </c>
      <c r="AS245" s="282" t="s">
        <v>2159</v>
      </c>
      <c r="AT245" s="282" t="s">
        <v>2160</v>
      </c>
      <c r="AU245" s="282"/>
      <c r="AV245" s="282"/>
      <c r="AW245" s="282"/>
      <c r="AX245" s="282"/>
      <c r="AY245" s="282"/>
      <c r="AZ245" s="282"/>
      <c r="BA245" s="113">
        <v>3.1859999999999999</v>
      </c>
      <c r="BB245" s="113">
        <v>3.1859999999999999</v>
      </c>
      <c r="BC245" s="113">
        <v>3.6920000000000002</v>
      </c>
      <c r="BD245" s="111">
        <f>(BC245*BB245*BA245)/1728</f>
        <v>2.1687500249999998E-2</v>
      </c>
      <c r="BE245" s="113">
        <v>0.375</v>
      </c>
      <c r="BF245" s="113">
        <v>10</v>
      </c>
      <c r="BG245" s="113">
        <v>6.75</v>
      </c>
      <c r="BH245" s="113">
        <v>4.37</v>
      </c>
      <c r="BI245" s="111">
        <f t="shared" si="67"/>
        <v>0.17070312500000001</v>
      </c>
      <c r="BJ245" s="113">
        <v>2.6669999999999998</v>
      </c>
      <c r="BK245" s="341"/>
      <c r="BL245" s="341"/>
      <c r="BM245" s="250" t="s">
        <v>764</v>
      </c>
      <c r="BN245" s="250">
        <v>6</v>
      </c>
      <c r="BO245" s="250">
        <v>26</v>
      </c>
      <c r="BP245" s="250">
        <v>9</v>
      </c>
      <c r="BQ245" s="27">
        <f t="shared" si="68"/>
        <v>1404</v>
      </c>
      <c r="BR245" s="27">
        <f t="shared" si="69"/>
        <v>674.07799999999997</v>
      </c>
      <c r="BS245" s="27" t="s">
        <v>1160</v>
      </c>
      <c r="BT245" s="27" t="s">
        <v>766</v>
      </c>
      <c r="BU245" s="14"/>
      <c r="BV245" s="14"/>
      <c r="BW245" s="14"/>
      <c r="BX245" s="299"/>
      <c r="BY245" s="299"/>
      <c r="BZ245" s="299"/>
      <c r="CA245" s="299"/>
      <c r="CB245" s="299"/>
      <c r="CC245" s="299"/>
      <c r="CD245" s="299"/>
      <c r="CE245" s="299"/>
    </row>
    <row r="246" spans="1:83" s="300" customFormat="1" ht="30" x14ac:dyDescent="0.25">
      <c r="A246" s="278">
        <v>41685</v>
      </c>
      <c r="B246" s="278"/>
      <c r="C246" s="250" t="s">
        <v>2161</v>
      </c>
      <c r="D246" s="250" t="s">
        <v>60</v>
      </c>
      <c r="E246" s="250" t="s">
        <v>2162</v>
      </c>
      <c r="F246" s="301" t="s">
        <v>2163</v>
      </c>
      <c r="G246" s="301" t="s">
        <v>1149</v>
      </c>
      <c r="H246" s="25" t="s">
        <v>2164</v>
      </c>
      <c r="I246" s="201"/>
      <c r="J246" s="25"/>
      <c r="K246" s="25"/>
      <c r="L246" s="26"/>
      <c r="M246" s="275"/>
      <c r="N246" s="275"/>
      <c r="O246" s="261"/>
      <c r="P246" s="261"/>
      <c r="Q246" s="261"/>
      <c r="R246" s="261"/>
      <c r="S246" s="261"/>
      <c r="T246" s="261"/>
      <c r="U246" s="294" t="s">
        <v>2165</v>
      </c>
      <c r="V246" s="294"/>
      <c r="W246" s="25">
        <v>84467</v>
      </c>
      <c r="X246" s="294"/>
      <c r="Y246" s="295" t="s">
        <v>2166</v>
      </c>
      <c r="Z246" s="294"/>
      <c r="AA246" s="295" t="s">
        <v>2167</v>
      </c>
      <c r="AB246" s="295"/>
      <c r="AC246" s="294"/>
      <c r="AD246" s="294"/>
      <c r="AE246" s="294"/>
      <c r="AF246" s="294"/>
      <c r="AG246" s="294"/>
      <c r="AH246" s="294"/>
      <c r="AI246" s="294"/>
      <c r="AJ246" s="294"/>
      <c r="AK246" s="294">
        <v>7467</v>
      </c>
      <c r="AL246" s="294"/>
      <c r="AM246" s="294"/>
      <c r="AN246" s="294"/>
      <c r="AO246" s="294"/>
      <c r="AP246" s="294"/>
      <c r="AQ246" s="294" t="s">
        <v>2168</v>
      </c>
      <c r="AR246" s="157">
        <v>47.05</v>
      </c>
      <c r="AS246" s="282" t="s">
        <v>2169</v>
      </c>
      <c r="AT246" s="282" t="s">
        <v>2170</v>
      </c>
      <c r="AU246" s="282"/>
      <c r="AV246" s="282"/>
      <c r="AW246" s="282"/>
      <c r="AX246" s="282"/>
      <c r="AY246" s="282"/>
      <c r="AZ246" s="282"/>
      <c r="BA246" s="113">
        <v>4.9225000000000003</v>
      </c>
      <c r="BB246" s="113">
        <v>4.9225000000000003</v>
      </c>
      <c r="BC246" s="113">
        <v>6.6574999999999998</v>
      </c>
      <c r="BD246" s="111">
        <f>(BC246*BB246*BA246)/1728</f>
        <v>9.3355280155888315E-2</v>
      </c>
      <c r="BE246" s="113">
        <v>0.95</v>
      </c>
      <c r="BF246" s="113">
        <v>19.181000000000001</v>
      </c>
      <c r="BG246" s="113">
        <v>14.430999999999999</v>
      </c>
      <c r="BH246" s="113">
        <v>6.6745000000000001</v>
      </c>
      <c r="BI246" s="111">
        <f t="shared" si="67"/>
        <v>1.0691599235645255</v>
      </c>
      <c r="BJ246" s="113">
        <f>BE246*BN246+0.4</f>
        <v>11.799999999999999</v>
      </c>
      <c r="BK246" s="341"/>
      <c r="BL246" s="341"/>
      <c r="BM246" s="250" t="s">
        <v>764</v>
      </c>
      <c r="BN246" s="250">
        <v>12</v>
      </c>
      <c r="BO246" s="250">
        <v>6</v>
      </c>
      <c r="BP246" s="250">
        <v>6</v>
      </c>
      <c r="BQ246" s="27">
        <f t="shared" si="68"/>
        <v>432</v>
      </c>
      <c r="BR246" s="27">
        <f t="shared" si="69"/>
        <v>474.79999999999995</v>
      </c>
      <c r="BS246" s="27" t="s">
        <v>886</v>
      </c>
      <c r="BT246" s="27" t="s">
        <v>766</v>
      </c>
      <c r="BU246" s="14"/>
      <c r="BV246" s="14"/>
      <c r="BW246" s="14"/>
      <c r="BX246" s="299"/>
      <c r="BY246" s="299"/>
      <c r="BZ246" s="299"/>
      <c r="CA246" s="299"/>
      <c r="CB246" s="299"/>
      <c r="CC246" s="299"/>
      <c r="CD246" s="299"/>
      <c r="CE246" s="299"/>
    </row>
    <row r="247" spans="1:83" s="300" customFormat="1" ht="15" customHeight="1" x14ac:dyDescent="0.25">
      <c r="A247" s="278">
        <v>41685</v>
      </c>
      <c r="B247" s="278"/>
      <c r="C247" s="251" t="s">
        <v>2171</v>
      </c>
      <c r="D247" s="251" t="s">
        <v>60</v>
      </c>
      <c r="E247" s="250" t="s">
        <v>2138</v>
      </c>
      <c r="F247" s="301" t="s">
        <v>2172</v>
      </c>
      <c r="G247" s="218" t="s">
        <v>798</v>
      </c>
      <c r="H247" s="25" t="s">
        <v>2173</v>
      </c>
      <c r="I247" s="201"/>
      <c r="J247" s="25"/>
      <c r="K247" s="25"/>
      <c r="L247" s="26"/>
      <c r="M247" s="275"/>
      <c r="N247" s="275"/>
      <c r="O247" s="261"/>
      <c r="P247" s="261"/>
      <c r="Q247" s="261"/>
      <c r="R247" s="261"/>
      <c r="S247" s="261"/>
      <c r="T247" s="261"/>
      <c r="U247" s="294"/>
      <c r="V247" s="294"/>
      <c r="W247" s="25"/>
      <c r="X247" s="294"/>
      <c r="Y247" s="295" t="s">
        <v>2174</v>
      </c>
      <c r="Z247" s="294"/>
      <c r="AA247" s="295"/>
      <c r="AB247" s="295"/>
      <c r="AC247" s="294"/>
      <c r="AD247" s="294"/>
      <c r="AE247" s="294"/>
      <c r="AF247" s="294"/>
      <c r="AG247" s="294"/>
      <c r="AH247" s="294"/>
      <c r="AI247" s="294"/>
      <c r="AJ247" s="294"/>
      <c r="AK247" s="294"/>
      <c r="AL247" s="294"/>
      <c r="AM247" s="294"/>
      <c r="AN247" s="294"/>
      <c r="AO247" s="294"/>
      <c r="AP247" s="294"/>
      <c r="AQ247" s="294"/>
      <c r="AR247" s="157">
        <v>47.49</v>
      </c>
      <c r="AS247" s="282" t="s">
        <v>2175</v>
      </c>
      <c r="AT247" s="282" t="s">
        <v>2176</v>
      </c>
      <c r="AU247" s="282"/>
      <c r="AV247" s="282"/>
      <c r="AW247" s="282"/>
      <c r="AX247" s="282"/>
      <c r="AY247" s="282"/>
      <c r="AZ247" s="282"/>
      <c r="BA247" s="396" t="s">
        <v>985</v>
      </c>
      <c r="BB247" s="396"/>
      <c r="BC247" s="396"/>
      <c r="BD247" s="396"/>
      <c r="BE247" s="396"/>
      <c r="BF247" s="251">
        <v>13.185</v>
      </c>
      <c r="BG247" s="251">
        <v>9.8049999999999997</v>
      </c>
      <c r="BH247" s="251">
        <v>10.18</v>
      </c>
      <c r="BI247" s="111">
        <f t="shared" si="67"/>
        <v>0.76160848177083329</v>
      </c>
      <c r="BJ247" s="251">
        <f>2.89+0.4</f>
        <v>3.29</v>
      </c>
      <c r="BK247" s="343"/>
      <c r="BL247" s="343"/>
      <c r="BM247" s="250" t="s">
        <v>764</v>
      </c>
      <c r="BN247" s="251">
        <v>1</v>
      </c>
      <c r="BO247" s="251">
        <v>16</v>
      </c>
      <c r="BP247" s="251">
        <v>3</v>
      </c>
      <c r="BQ247" s="27">
        <f t="shared" si="68"/>
        <v>48</v>
      </c>
      <c r="BR247" s="27">
        <f t="shared" si="69"/>
        <v>207.92000000000002</v>
      </c>
      <c r="BS247" s="27" t="s">
        <v>886</v>
      </c>
      <c r="BT247" s="27" t="s">
        <v>766</v>
      </c>
      <c r="BU247" s="14"/>
      <c r="BV247" s="14"/>
      <c r="BW247" s="14"/>
      <c r="BX247" s="299"/>
      <c r="BY247" s="299"/>
      <c r="BZ247" s="299"/>
      <c r="CA247" s="299"/>
      <c r="CB247" s="299"/>
      <c r="CC247" s="299"/>
      <c r="CD247" s="299"/>
      <c r="CE247" s="299"/>
    </row>
    <row r="248" spans="1:83" s="300" customFormat="1" x14ac:dyDescent="0.25">
      <c r="A248" s="278">
        <v>41685</v>
      </c>
      <c r="B248" s="278"/>
      <c r="C248" s="251" t="s">
        <v>2177</v>
      </c>
      <c r="D248" s="250" t="s">
        <v>60</v>
      </c>
      <c r="E248" s="250" t="s">
        <v>2178</v>
      </c>
      <c r="F248" s="301" t="s">
        <v>2179</v>
      </c>
      <c r="G248" s="218" t="s">
        <v>2180</v>
      </c>
      <c r="H248" s="25">
        <v>3107499</v>
      </c>
      <c r="I248" s="201"/>
      <c r="J248" s="25"/>
      <c r="K248" s="25"/>
      <c r="L248" s="26"/>
      <c r="M248" s="275"/>
      <c r="N248" s="275"/>
      <c r="O248" s="261"/>
      <c r="P248" s="261"/>
      <c r="Q248" s="261"/>
      <c r="R248" s="261"/>
      <c r="S248" s="261"/>
      <c r="T248" s="261"/>
      <c r="U248" s="294" t="s">
        <v>2181</v>
      </c>
      <c r="V248" s="294"/>
      <c r="W248" s="25"/>
      <c r="X248" s="294"/>
      <c r="Y248" s="295"/>
      <c r="Z248" s="294"/>
      <c r="AA248" s="295" t="s">
        <v>2182</v>
      </c>
      <c r="AB248" s="295" t="s">
        <v>2183</v>
      </c>
      <c r="AC248" s="294" t="s">
        <v>2184</v>
      </c>
      <c r="AD248" s="294"/>
      <c r="AE248" s="294"/>
      <c r="AF248" s="294"/>
      <c r="AG248" s="294"/>
      <c r="AH248" s="294"/>
      <c r="AI248" s="294"/>
      <c r="AJ248" s="294"/>
      <c r="AK248" s="294"/>
      <c r="AL248" s="294"/>
      <c r="AM248" s="294"/>
      <c r="AN248" s="294"/>
      <c r="AO248" s="294"/>
      <c r="AP248" s="294"/>
      <c r="AQ248" s="294"/>
      <c r="AR248" s="157">
        <v>14.94</v>
      </c>
      <c r="AS248" s="282" t="s">
        <v>2185</v>
      </c>
      <c r="AT248" s="282" t="s">
        <v>2186</v>
      </c>
      <c r="AU248" s="282"/>
      <c r="AV248" s="282"/>
      <c r="AW248" s="282"/>
      <c r="AX248" s="282"/>
      <c r="AY248" s="282"/>
      <c r="AZ248" s="282"/>
      <c r="BA248" s="251">
        <v>4.9225000000000003</v>
      </c>
      <c r="BB248" s="251">
        <v>4.9225000000000003</v>
      </c>
      <c r="BC248" s="251">
        <v>6.6574999999999998</v>
      </c>
      <c r="BD248" s="111">
        <f>(BC248*BB248*BA248)/1728</f>
        <v>9.3355280155888315E-2</v>
      </c>
      <c r="BE248" s="251">
        <v>0.69</v>
      </c>
      <c r="BF248" s="251">
        <v>19.181000000000001</v>
      </c>
      <c r="BG248" s="251">
        <v>14.430999999999999</v>
      </c>
      <c r="BH248" s="251">
        <v>6.6745000000000001</v>
      </c>
      <c r="BI248" s="111">
        <f t="shared" si="67"/>
        <v>1.0691599235645255</v>
      </c>
      <c r="BJ248" s="251">
        <f>BE248*BN248+0.4</f>
        <v>8.68</v>
      </c>
      <c r="BK248" s="343"/>
      <c r="BL248" s="343"/>
      <c r="BM248" s="250" t="s">
        <v>764</v>
      </c>
      <c r="BN248" s="251">
        <v>12</v>
      </c>
      <c r="BO248" s="251">
        <v>6</v>
      </c>
      <c r="BP248" s="251">
        <v>6</v>
      </c>
      <c r="BQ248" s="27">
        <f t="shared" si="68"/>
        <v>432</v>
      </c>
      <c r="BR248" s="27">
        <f t="shared" si="69"/>
        <v>362.48</v>
      </c>
      <c r="BS248" s="27" t="s">
        <v>886</v>
      </c>
      <c r="BT248" s="27" t="s">
        <v>766</v>
      </c>
      <c r="BU248" s="14"/>
      <c r="BV248" s="14"/>
      <c r="BW248" s="14"/>
      <c r="BX248" s="299"/>
      <c r="BY248" s="299"/>
      <c r="BZ248" s="299"/>
      <c r="CA248" s="299"/>
      <c r="CB248" s="299"/>
      <c r="CC248" s="299"/>
      <c r="CD248" s="299"/>
      <c r="CE248" s="299"/>
    </row>
    <row r="249" spans="1:83" s="300" customFormat="1" ht="30" x14ac:dyDescent="0.25">
      <c r="A249" s="278">
        <v>41685</v>
      </c>
      <c r="B249" s="278"/>
      <c r="C249" s="251" t="s">
        <v>1956</v>
      </c>
      <c r="D249" s="251" t="s">
        <v>60</v>
      </c>
      <c r="E249" s="250" t="s">
        <v>2187</v>
      </c>
      <c r="F249" s="301" t="s">
        <v>2188</v>
      </c>
      <c r="G249" s="218" t="s">
        <v>759</v>
      </c>
      <c r="H249" s="25" t="s">
        <v>1958</v>
      </c>
      <c r="I249" s="201"/>
      <c r="J249" s="25"/>
      <c r="K249" s="25"/>
      <c r="L249" s="26"/>
      <c r="M249" s="275"/>
      <c r="N249" s="275"/>
      <c r="O249" s="261"/>
      <c r="P249" s="261"/>
      <c r="Q249" s="261"/>
      <c r="R249" s="261"/>
      <c r="S249" s="261"/>
      <c r="T249" s="261"/>
      <c r="U249" s="294"/>
      <c r="V249" s="294"/>
      <c r="W249" s="25"/>
      <c r="X249" s="294"/>
      <c r="Y249" s="295"/>
      <c r="Z249" s="294"/>
      <c r="AA249" s="295"/>
      <c r="AB249" s="295" t="s">
        <v>1959</v>
      </c>
      <c r="AC249" s="294"/>
      <c r="AD249" s="294"/>
      <c r="AE249" s="294"/>
      <c r="AF249" s="294"/>
      <c r="AG249" s="294"/>
      <c r="AH249" s="294"/>
      <c r="AI249" s="294"/>
      <c r="AJ249" s="294"/>
      <c r="AK249" s="294"/>
      <c r="AL249" s="294"/>
      <c r="AM249" s="294"/>
      <c r="AN249" s="294"/>
      <c r="AO249" s="294"/>
      <c r="AP249" s="294"/>
      <c r="AQ249" s="294"/>
      <c r="AR249" s="157">
        <v>87.38</v>
      </c>
      <c r="AS249" s="282" t="s">
        <v>1960</v>
      </c>
      <c r="AT249" s="282" t="s">
        <v>2189</v>
      </c>
      <c r="AU249" s="282"/>
      <c r="AV249" s="282"/>
      <c r="AW249" s="282"/>
      <c r="AX249" s="282"/>
      <c r="AY249" s="282"/>
      <c r="AZ249" s="282"/>
      <c r="BA249" s="251">
        <v>3.992</v>
      </c>
      <c r="BB249" s="251">
        <v>3.992</v>
      </c>
      <c r="BC249" s="251">
        <v>8.234</v>
      </c>
      <c r="BD249" s="111">
        <f>(BC249*BB249*BA249)/1728</f>
        <v>7.5936082740740748E-2</v>
      </c>
      <c r="BE249" s="251">
        <v>0.8</v>
      </c>
      <c r="BF249" s="251">
        <v>16.556000000000001</v>
      </c>
      <c r="BG249" s="251">
        <v>12.555999999999999</v>
      </c>
      <c r="BH249" s="251">
        <v>8.8620000000000001</v>
      </c>
      <c r="BI249" s="111">
        <f t="shared" si="67"/>
        <v>1.0660921176111111</v>
      </c>
      <c r="BJ249" s="251">
        <f>BE249*BN249+0.25</f>
        <v>9.8500000000000014</v>
      </c>
      <c r="BK249" s="343"/>
      <c r="BL249" s="343"/>
      <c r="BM249" s="250" t="s">
        <v>764</v>
      </c>
      <c r="BN249" s="251">
        <v>12</v>
      </c>
      <c r="BO249" s="251">
        <v>8</v>
      </c>
      <c r="BP249" s="251">
        <v>4</v>
      </c>
      <c r="BQ249" s="27">
        <f t="shared" si="68"/>
        <v>384</v>
      </c>
      <c r="BR249" s="27">
        <f t="shared" si="69"/>
        <v>365.20000000000005</v>
      </c>
      <c r="BS249" s="27" t="s">
        <v>886</v>
      </c>
      <c r="BT249" s="27" t="s">
        <v>766</v>
      </c>
      <c r="BU249" s="14"/>
      <c r="BV249" s="14"/>
      <c r="BW249" s="14"/>
      <c r="BX249" s="299"/>
      <c r="BY249" s="299"/>
      <c r="BZ249" s="299"/>
      <c r="CA249" s="299"/>
      <c r="CB249" s="299"/>
      <c r="CC249" s="299"/>
      <c r="CD249" s="299"/>
      <c r="CE249" s="299"/>
    </row>
    <row r="250" spans="1:83" s="300" customFormat="1" x14ac:dyDescent="0.25">
      <c r="A250" s="278">
        <v>41685</v>
      </c>
      <c r="B250" s="278"/>
      <c r="C250" s="251" t="s">
        <v>2190</v>
      </c>
      <c r="D250" s="251" t="s">
        <v>735</v>
      </c>
      <c r="E250" s="250" t="s">
        <v>2191</v>
      </c>
      <c r="F250" s="301" t="s">
        <v>2192</v>
      </c>
      <c r="G250" s="218" t="s">
        <v>923</v>
      </c>
      <c r="H250" s="25" t="s">
        <v>2193</v>
      </c>
      <c r="I250" s="201"/>
      <c r="J250" s="25"/>
      <c r="K250" s="25"/>
      <c r="L250" s="26"/>
      <c r="M250" s="275"/>
      <c r="N250" s="275"/>
      <c r="O250" s="261"/>
      <c r="P250" s="261"/>
      <c r="Q250" s="261"/>
      <c r="R250" s="261"/>
      <c r="S250" s="261"/>
      <c r="T250" s="261"/>
      <c r="U250" s="294"/>
      <c r="V250" s="294"/>
      <c r="W250" s="25">
        <v>83640</v>
      </c>
      <c r="X250" s="294"/>
      <c r="Y250" s="295"/>
      <c r="Z250" s="294"/>
      <c r="AA250" s="295"/>
      <c r="AB250" s="295" t="s">
        <v>2194</v>
      </c>
      <c r="AC250" s="294" t="s">
        <v>2195</v>
      </c>
      <c r="AD250" s="294"/>
      <c r="AE250" s="294"/>
      <c r="AF250" s="294"/>
      <c r="AG250" s="294"/>
      <c r="AH250" s="294" t="s">
        <v>2196</v>
      </c>
      <c r="AI250" s="294"/>
      <c r="AJ250" s="294"/>
      <c r="AK250" s="294">
        <v>9640</v>
      </c>
      <c r="AL250" s="294" t="s">
        <v>2197</v>
      </c>
      <c r="AM250" s="294" t="s">
        <v>2198</v>
      </c>
      <c r="AN250" s="294" t="s">
        <v>2199</v>
      </c>
      <c r="AO250" s="294"/>
      <c r="AP250" s="294" t="s">
        <v>2200</v>
      </c>
      <c r="AQ250" s="294" t="s">
        <v>2201</v>
      </c>
      <c r="AR250" s="157">
        <v>52.97</v>
      </c>
      <c r="AS250" s="282" t="s">
        <v>2202</v>
      </c>
      <c r="AT250" s="282" t="s">
        <v>2203</v>
      </c>
      <c r="AU250" s="282"/>
      <c r="AV250" s="282"/>
      <c r="AW250" s="282"/>
      <c r="AX250" s="282"/>
      <c r="AY250" s="282"/>
      <c r="AZ250" s="282"/>
      <c r="BA250" s="251">
        <v>8.6560000000000006</v>
      </c>
      <c r="BB250" s="251">
        <v>2.286</v>
      </c>
      <c r="BC250" s="251">
        <v>13.942</v>
      </c>
      <c r="BD250" s="111">
        <f>(BC250*BB250*BA250)/1728</f>
        <v>0.15965216566666668</v>
      </c>
      <c r="BE250" s="251">
        <v>0.4</v>
      </c>
      <c r="BF250" s="251">
        <v>14.5</v>
      </c>
      <c r="BG250" s="251">
        <v>9.25</v>
      </c>
      <c r="BH250" s="251">
        <v>7.5</v>
      </c>
      <c r="BI250" s="111">
        <f t="shared" si="67"/>
        <v>0.58213975694444442</v>
      </c>
      <c r="BJ250" s="251">
        <f>BE250*BN250+0.4</f>
        <v>1.6</v>
      </c>
      <c r="BK250" s="343"/>
      <c r="BL250" s="343"/>
      <c r="BM250" s="250" t="s">
        <v>764</v>
      </c>
      <c r="BN250" s="251">
        <v>3</v>
      </c>
      <c r="BO250" s="251">
        <v>13</v>
      </c>
      <c r="BP250" s="251">
        <v>6</v>
      </c>
      <c r="BQ250" s="27">
        <f t="shared" si="68"/>
        <v>234</v>
      </c>
      <c r="BR250" s="27">
        <f t="shared" si="69"/>
        <v>174.8</v>
      </c>
      <c r="BS250" s="251" t="s">
        <v>779</v>
      </c>
      <c r="BT250" s="27" t="s">
        <v>766</v>
      </c>
      <c r="BU250" s="14"/>
      <c r="BV250" s="14"/>
      <c r="BW250" s="14"/>
      <c r="BX250" s="299"/>
      <c r="BY250" s="299"/>
      <c r="BZ250" s="299"/>
      <c r="CA250" s="299"/>
      <c r="CB250" s="299"/>
      <c r="CC250" s="299"/>
      <c r="CD250" s="299"/>
      <c r="CE250" s="299"/>
    </row>
    <row r="251" spans="1:83" s="300" customFormat="1" x14ac:dyDescent="0.25">
      <c r="A251" s="278">
        <v>41685</v>
      </c>
      <c r="B251" s="278"/>
      <c r="C251" s="251" t="s">
        <v>2204</v>
      </c>
      <c r="D251" s="251" t="s">
        <v>735</v>
      </c>
      <c r="E251" s="250" t="s">
        <v>2205</v>
      </c>
      <c r="F251" s="301" t="s">
        <v>2206</v>
      </c>
      <c r="G251" s="218" t="s">
        <v>1042</v>
      </c>
      <c r="H251" s="25" t="s">
        <v>2207</v>
      </c>
      <c r="I251" s="201"/>
      <c r="J251" s="25"/>
      <c r="K251" s="25"/>
      <c r="L251" s="26"/>
      <c r="M251" s="275"/>
      <c r="N251" s="275"/>
      <c r="O251" s="261"/>
      <c r="P251" s="261"/>
      <c r="Q251" s="261"/>
      <c r="R251" s="261"/>
      <c r="S251" s="261"/>
      <c r="T251" s="261"/>
      <c r="U251" s="294"/>
      <c r="V251" s="294"/>
      <c r="W251" s="25">
        <v>83700</v>
      </c>
      <c r="X251" s="294"/>
      <c r="Y251" s="295"/>
      <c r="Z251" s="294"/>
      <c r="AA251" s="295"/>
      <c r="AB251" s="295" t="s">
        <v>2208</v>
      </c>
      <c r="AC251" s="294" t="s">
        <v>2209</v>
      </c>
      <c r="AD251" s="294"/>
      <c r="AE251" s="294"/>
      <c r="AF251" s="294"/>
      <c r="AG251" s="294"/>
      <c r="AH251" s="294"/>
      <c r="AI251" s="294"/>
      <c r="AJ251" s="294"/>
      <c r="AK251" s="294">
        <v>9700</v>
      </c>
      <c r="AL251" s="294" t="s">
        <v>2210</v>
      </c>
      <c r="AM251" s="294" t="s">
        <v>2210</v>
      </c>
      <c r="AN251" s="261"/>
      <c r="AO251" s="261"/>
      <c r="AP251" s="294" t="s">
        <v>2211</v>
      </c>
      <c r="AQ251" s="294" t="s">
        <v>2212</v>
      </c>
      <c r="AR251" s="157">
        <v>23.86</v>
      </c>
      <c r="AS251" s="282" t="s">
        <v>2213</v>
      </c>
      <c r="AT251" s="282" t="s">
        <v>2214</v>
      </c>
      <c r="AU251" s="282"/>
      <c r="AV251" s="282"/>
      <c r="AW251" s="282"/>
      <c r="AX251" s="282"/>
      <c r="AY251" s="282"/>
      <c r="AZ251" s="282"/>
      <c r="BA251" s="397" t="s">
        <v>1505</v>
      </c>
      <c r="BB251" s="398"/>
      <c r="BC251" s="398"/>
      <c r="BD251" s="398"/>
      <c r="BE251" s="398"/>
      <c r="BF251" s="251">
        <v>15.37</v>
      </c>
      <c r="BG251" s="251">
        <v>9.75</v>
      </c>
      <c r="BH251" s="251">
        <v>9</v>
      </c>
      <c r="BI251" s="111">
        <f t="shared" si="67"/>
        <v>0.78050781250000001</v>
      </c>
      <c r="BJ251" s="251">
        <v>1.7800000000000002</v>
      </c>
      <c r="BK251" s="343"/>
      <c r="BL251" s="343"/>
      <c r="BM251" s="250" t="s">
        <v>764</v>
      </c>
      <c r="BN251" s="251">
        <v>6</v>
      </c>
      <c r="BO251" s="251">
        <v>12</v>
      </c>
      <c r="BP251" s="251">
        <v>4</v>
      </c>
      <c r="BQ251" s="27">
        <f t="shared" si="68"/>
        <v>288</v>
      </c>
      <c r="BR251" s="27">
        <f t="shared" si="69"/>
        <v>135.44</v>
      </c>
      <c r="BS251" s="251" t="s">
        <v>769</v>
      </c>
      <c r="BT251" s="27" t="s">
        <v>766</v>
      </c>
      <c r="BU251" s="14"/>
      <c r="BV251" s="14"/>
      <c r="BW251" s="14"/>
      <c r="BX251" s="299"/>
      <c r="BY251" s="299"/>
      <c r="BZ251" s="299"/>
      <c r="CA251" s="299"/>
      <c r="CB251" s="299"/>
      <c r="CC251" s="299"/>
      <c r="CD251" s="299"/>
      <c r="CE251" s="299"/>
    </row>
    <row r="252" spans="1:83" s="300" customFormat="1" x14ac:dyDescent="0.25">
      <c r="A252" s="278">
        <v>41685</v>
      </c>
      <c r="B252" s="278"/>
      <c r="C252" s="251" t="s">
        <v>2215</v>
      </c>
      <c r="D252" s="251" t="s">
        <v>735</v>
      </c>
      <c r="E252" s="250" t="s">
        <v>2191</v>
      </c>
      <c r="F252" s="301" t="s">
        <v>2216</v>
      </c>
      <c r="G252" s="218" t="s">
        <v>865</v>
      </c>
      <c r="H252" s="25" t="s">
        <v>2217</v>
      </c>
      <c r="I252" s="201"/>
      <c r="J252" s="25"/>
      <c r="K252" s="25"/>
      <c r="L252" s="26"/>
      <c r="M252" s="275"/>
      <c r="N252" s="275"/>
      <c r="O252" s="261"/>
      <c r="P252" s="261"/>
      <c r="Q252" s="261"/>
      <c r="R252" s="261"/>
      <c r="S252" s="261"/>
      <c r="T252" s="261"/>
      <c r="U252" s="294" t="s">
        <v>2218</v>
      </c>
      <c r="V252" s="294"/>
      <c r="W252" s="25">
        <v>83630</v>
      </c>
      <c r="X252" s="294"/>
      <c r="Y252" s="295"/>
      <c r="Z252" s="294"/>
      <c r="AA252" s="295"/>
      <c r="AB252" s="295" t="s">
        <v>2219</v>
      </c>
      <c r="AC252" s="294" t="s">
        <v>2220</v>
      </c>
      <c r="AD252" s="294"/>
      <c r="AE252" s="294" t="s">
        <v>2221</v>
      </c>
      <c r="AF252" s="294"/>
      <c r="AG252" s="294"/>
      <c r="AH252" s="294"/>
      <c r="AI252" s="294"/>
      <c r="AJ252" s="294"/>
      <c r="AK252" s="294">
        <v>9630</v>
      </c>
      <c r="AL252" s="294" t="s">
        <v>2222</v>
      </c>
      <c r="AM252" s="294" t="s">
        <v>2223</v>
      </c>
      <c r="AN252" s="294" t="s">
        <v>2224</v>
      </c>
      <c r="AO252" s="294"/>
      <c r="AP252" s="294" t="s">
        <v>2225</v>
      </c>
      <c r="AQ252" s="294" t="s">
        <v>2226</v>
      </c>
      <c r="AR252" s="157">
        <v>21.89</v>
      </c>
      <c r="AS252" s="282" t="s">
        <v>2227</v>
      </c>
      <c r="AT252" s="282" t="s">
        <v>2228</v>
      </c>
      <c r="AU252" s="282"/>
      <c r="AV252" s="282"/>
      <c r="AW252" s="282"/>
      <c r="AX252" s="282"/>
      <c r="AY252" s="282"/>
      <c r="AZ252" s="282"/>
      <c r="BA252" s="251">
        <v>8.5359999999999996</v>
      </c>
      <c r="BB252" s="251">
        <v>2.4060000000000001</v>
      </c>
      <c r="BC252" s="251">
        <v>10.692</v>
      </c>
      <c r="BD252" s="111">
        <f t="shared" ref="BD252:BD259" si="70">(BC252*BB252*BA252)/1728</f>
        <v>0.12707649899999998</v>
      </c>
      <c r="BE252" s="251">
        <v>0.6</v>
      </c>
      <c r="BF252" s="251">
        <v>12.25</v>
      </c>
      <c r="BG252" s="251">
        <v>10.25</v>
      </c>
      <c r="BH252" s="251">
        <v>8.25</v>
      </c>
      <c r="BI252" s="111">
        <f t="shared" si="67"/>
        <v>0.59947374131944442</v>
      </c>
      <c r="BJ252" s="251">
        <f t="shared" ref="BJ252:BJ257" si="71">BE252*BN252+0.4</f>
        <v>2.1999999999999997</v>
      </c>
      <c r="BK252" s="343"/>
      <c r="BL252" s="343"/>
      <c r="BM252" s="250" t="s">
        <v>764</v>
      </c>
      <c r="BN252" s="251">
        <v>3</v>
      </c>
      <c r="BO252" s="251">
        <v>12</v>
      </c>
      <c r="BP252" s="251">
        <v>5</v>
      </c>
      <c r="BQ252" s="27">
        <f t="shared" si="68"/>
        <v>180</v>
      </c>
      <c r="BR252" s="27">
        <f t="shared" si="69"/>
        <v>182</v>
      </c>
      <c r="BS252" s="251" t="s">
        <v>769</v>
      </c>
      <c r="BT252" s="27" t="s">
        <v>766</v>
      </c>
      <c r="BU252" s="14"/>
      <c r="BV252" s="14"/>
      <c r="BW252" s="14"/>
      <c r="BX252" s="299"/>
      <c r="BY252" s="299"/>
      <c r="BZ252" s="299"/>
      <c r="CA252" s="299"/>
      <c r="CB252" s="299"/>
      <c r="CC252" s="299"/>
      <c r="CD252" s="299"/>
      <c r="CE252" s="299"/>
    </row>
    <row r="253" spans="1:83" s="300" customFormat="1" x14ac:dyDescent="0.25">
      <c r="A253" s="278">
        <v>41685</v>
      </c>
      <c r="B253" s="278"/>
      <c r="C253" s="251" t="s">
        <v>2229</v>
      </c>
      <c r="D253" s="251" t="s">
        <v>735</v>
      </c>
      <c r="E253" s="250" t="s">
        <v>2191</v>
      </c>
      <c r="F253" s="301" t="s">
        <v>2230</v>
      </c>
      <c r="G253" s="218" t="s">
        <v>865</v>
      </c>
      <c r="H253" s="25" t="s">
        <v>2231</v>
      </c>
      <c r="I253" s="201"/>
      <c r="J253" s="25"/>
      <c r="K253" s="25"/>
      <c r="L253" s="26"/>
      <c r="M253" s="275"/>
      <c r="N253" s="275"/>
      <c r="O253" s="261"/>
      <c r="P253" s="261"/>
      <c r="Q253" s="261"/>
      <c r="R253" s="261"/>
      <c r="S253" s="261"/>
      <c r="T253" s="261"/>
      <c r="U253" s="294" t="s">
        <v>2232</v>
      </c>
      <c r="V253" s="294"/>
      <c r="W253" s="25">
        <v>83031</v>
      </c>
      <c r="X253" s="294"/>
      <c r="Y253" s="295"/>
      <c r="Z253" s="294"/>
      <c r="AA253" s="295"/>
      <c r="AB253" s="295" t="s">
        <v>2233</v>
      </c>
      <c r="AC253" s="294" t="s">
        <v>2234</v>
      </c>
      <c r="AD253" s="294"/>
      <c r="AE253" s="294" t="s">
        <v>2235</v>
      </c>
      <c r="AF253" s="294"/>
      <c r="AG253" s="294"/>
      <c r="AH253" s="294" t="s">
        <v>2236</v>
      </c>
      <c r="AI253" s="294"/>
      <c r="AJ253" s="294"/>
      <c r="AK253" s="294">
        <v>9031</v>
      </c>
      <c r="AL253" s="294" t="s">
        <v>2237</v>
      </c>
      <c r="AM253" s="294" t="s">
        <v>2238</v>
      </c>
      <c r="AN253" s="294"/>
      <c r="AO253" s="294"/>
      <c r="AP253" s="294" t="s">
        <v>2239</v>
      </c>
      <c r="AQ253" s="294" t="s">
        <v>2240</v>
      </c>
      <c r="AR253" s="157">
        <v>26.14</v>
      </c>
      <c r="AS253" s="282" t="s">
        <v>2241</v>
      </c>
      <c r="AT253" s="282" t="s">
        <v>2242</v>
      </c>
      <c r="AU253" s="282"/>
      <c r="AV253" s="282"/>
      <c r="AW253" s="282"/>
      <c r="AX253" s="282"/>
      <c r="AY253" s="282"/>
      <c r="AZ253" s="282"/>
      <c r="BA253" s="251">
        <v>8.5359999999999996</v>
      </c>
      <c r="BB253" s="251">
        <v>2.4060000000000001</v>
      </c>
      <c r="BC253" s="251">
        <v>10.692</v>
      </c>
      <c r="BD253" s="111">
        <f t="shared" si="70"/>
        <v>0.12707649899999998</v>
      </c>
      <c r="BE253" s="251">
        <v>0.6</v>
      </c>
      <c r="BF253" s="251">
        <v>12.25</v>
      </c>
      <c r="BG253" s="251">
        <v>10.25</v>
      </c>
      <c r="BH253" s="251">
        <v>8.25</v>
      </c>
      <c r="BI253" s="111">
        <f t="shared" si="67"/>
        <v>0.59947374131944442</v>
      </c>
      <c r="BJ253" s="251">
        <f t="shared" si="71"/>
        <v>2.1999999999999997</v>
      </c>
      <c r="BK253" s="343"/>
      <c r="BL253" s="343"/>
      <c r="BM253" s="250" t="s">
        <v>764</v>
      </c>
      <c r="BN253" s="251">
        <v>3</v>
      </c>
      <c r="BO253" s="251">
        <v>12</v>
      </c>
      <c r="BP253" s="251">
        <v>5</v>
      </c>
      <c r="BQ253" s="27">
        <f t="shared" si="68"/>
        <v>180</v>
      </c>
      <c r="BR253" s="27">
        <f t="shared" si="69"/>
        <v>182</v>
      </c>
      <c r="BS253" s="251" t="s">
        <v>765</v>
      </c>
      <c r="BT253" s="27" t="s">
        <v>766</v>
      </c>
      <c r="BU253" s="14"/>
      <c r="BV253" s="14"/>
      <c r="BW253" s="14"/>
      <c r="BX253" s="299"/>
      <c r="BY253" s="299"/>
      <c r="BZ253" s="299"/>
      <c r="CA253" s="299"/>
      <c r="CB253" s="299"/>
      <c r="CC253" s="299"/>
      <c r="CD253" s="299"/>
      <c r="CE253" s="299"/>
    </row>
    <row r="254" spans="1:83" s="300" customFormat="1" x14ac:dyDescent="0.25">
      <c r="A254" s="278">
        <v>41685</v>
      </c>
      <c r="B254" s="278"/>
      <c r="C254" s="251" t="s">
        <v>2243</v>
      </c>
      <c r="D254" s="251" t="s">
        <v>735</v>
      </c>
      <c r="E254" s="250" t="s">
        <v>2191</v>
      </c>
      <c r="F254" s="301" t="s">
        <v>2244</v>
      </c>
      <c r="G254" s="218" t="s">
        <v>865</v>
      </c>
      <c r="H254" s="25" t="s">
        <v>2245</v>
      </c>
      <c r="I254" s="201"/>
      <c r="J254" s="25"/>
      <c r="K254" s="25"/>
      <c r="L254" s="26"/>
      <c r="M254" s="275"/>
      <c r="N254" s="275"/>
      <c r="O254" s="261"/>
      <c r="P254" s="261"/>
      <c r="Q254" s="261"/>
      <c r="R254" s="261"/>
      <c r="S254" s="261"/>
      <c r="T254" s="261"/>
      <c r="U254" s="294" t="s">
        <v>2246</v>
      </c>
      <c r="V254" s="294"/>
      <c r="W254" s="25">
        <v>83530</v>
      </c>
      <c r="X254" s="294"/>
      <c r="Y254" s="295"/>
      <c r="Z254" s="294"/>
      <c r="AA254" s="295"/>
      <c r="AB254" s="295" t="s">
        <v>2247</v>
      </c>
      <c r="AC254" s="294" t="s">
        <v>2248</v>
      </c>
      <c r="AD254" s="294"/>
      <c r="AE254" s="294" t="s">
        <v>2249</v>
      </c>
      <c r="AF254" s="294"/>
      <c r="AG254" s="294"/>
      <c r="AH254" s="294"/>
      <c r="AI254" s="294"/>
      <c r="AJ254" s="294"/>
      <c r="AK254" s="294">
        <v>9530</v>
      </c>
      <c r="AL254" s="294" t="s">
        <v>2250</v>
      </c>
      <c r="AM254" s="294" t="s">
        <v>2251</v>
      </c>
      <c r="AN254" s="294" t="s">
        <v>2252</v>
      </c>
      <c r="AO254" s="294"/>
      <c r="AP254" s="294" t="s">
        <v>2253</v>
      </c>
      <c r="AQ254" s="294" t="s">
        <v>2254</v>
      </c>
      <c r="AR254" s="157">
        <v>15.95</v>
      </c>
      <c r="AS254" s="282" t="s">
        <v>2255</v>
      </c>
      <c r="AT254" s="282" t="s">
        <v>2256</v>
      </c>
      <c r="AU254" s="282"/>
      <c r="AV254" s="282"/>
      <c r="AW254" s="282"/>
      <c r="AX254" s="282"/>
      <c r="AY254" s="282"/>
      <c r="AZ254" s="282"/>
      <c r="BA254" s="251">
        <v>7.0359999999999996</v>
      </c>
      <c r="BB254" s="251">
        <v>2.536</v>
      </c>
      <c r="BC254" s="251">
        <v>11.821999999999999</v>
      </c>
      <c r="BD254" s="111">
        <f t="shared" si="70"/>
        <v>0.12207375307407406</v>
      </c>
      <c r="BE254" s="251">
        <v>0.6</v>
      </c>
      <c r="BF254" s="251">
        <v>12.25</v>
      </c>
      <c r="BG254" s="251">
        <v>7.5</v>
      </c>
      <c r="BH254" s="251">
        <v>8.5</v>
      </c>
      <c r="BI254" s="111">
        <f t="shared" si="67"/>
        <v>0.4519314236111111</v>
      </c>
      <c r="BJ254" s="251">
        <f t="shared" si="71"/>
        <v>2.1999999999999997</v>
      </c>
      <c r="BK254" s="343"/>
      <c r="BL254" s="343"/>
      <c r="BM254" s="250" t="s">
        <v>764</v>
      </c>
      <c r="BN254" s="251">
        <v>3</v>
      </c>
      <c r="BO254" s="251">
        <v>20</v>
      </c>
      <c r="BP254" s="251">
        <v>5</v>
      </c>
      <c r="BQ254" s="27">
        <f t="shared" si="68"/>
        <v>300</v>
      </c>
      <c r="BR254" s="27">
        <f t="shared" si="69"/>
        <v>270</v>
      </c>
      <c r="BS254" s="251" t="s">
        <v>769</v>
      </c>
      <c r="BT254" s="27" t="s">
        <v>766</v>
      </c>
      <c r="BU254" s="14"/>
      <c r="BV254" s="14"/>
      <c r="BW254" s="14"/>
      <c r="BX254" s="299"/>
      <c r="BY254" s="299"/>
      <c r="BZ254" s="299"/>
      <c r="CA254" s="299"/>
      <c r="CB254" s="299"/>
      <c r="CC254" s="299"/>
      <c r="CD254" s="299"/>
      <c r="CE254" s="299"/>
    </row>
    <row r="255" spans="1:83" s="300" customFormat="1" ht="30" x14ac:dyDescent="0.25">
      <c r="A255" s="278">
        <v>41685</v>
      </c>
      <c r="B255" s="278"/>
      <c r="C255" s="251" t="s">
        <v>2257</v>
      </c>
      <c r="D255" s="251" t="s">
        <v>735</v>
      </c>
      <c r="E255" s="250" t="s">
        <v>2191</v>
      </c>
      <c r="F255" s="301" t="s">
        <v>2258</v>
      </c>
      <c r="G255" s="218" t="s">
        <v>963</v>
      </c>
      <c r="H255" s="25" t="s">
        <v>2259</v>
      </c>
      <c r="I255" s="218" t="s">
        <v>908</v>
      </c>
      <c r="J255" s="25" t="s">
        <v>2260</v>
      </c>
      <c r="K255" s="25"/>
      <c r="L255" s="26"/>
      <c r="M255" s="275"/>
      <c r="N255" s="275"/>
      <c r="O255" s="261"/>
      <c r="P255" s="261"/>
      <c r="Q255" s="261"/>
      <c r="R255" s="261"/>
      <c r="S255" s="261"/>
      <c r="T255" s="261"/>
      <c r="U255" s="294" t="s">
        <v>2261</v>
      </c>
      <c r="V255" s="294"/>
      <c r="W255" s="25">
        <v>83737</v>
      </c>
      <c r="X255" s="294"/>
      <c r="Y255" s="295"/>
      <c r="Z255" s="294"/>
      <c r="AA255" s="295"/>
      <c r="AB255" s="295" t="s">
        <v>2262</v>
      </c>
      <c r="AC255" s="294" t="s">
        <v>2263</v>
      </c>
      <c r="AD255" s="294"/>
      <c r="AE255" s="294" t="s">
        <v>2264</v>
      </c>
      <c r="AF255" s="294"/>
      <c r="AG255" s="294"/>
      <c r="AH255" s="294"/>
      <c r="AI255" s="294"/>
      <c r="AJ255" s="294"/>
      <c r="AK255" s="294">
        <v>9737</v>
      </c>
      <c r="AL255" s="294" t="s">
        <v>2265</v>
      </c>
      <c r="AM255" s="294" t="s">
        <v>2266</v>
      </c>
      <c r="AN255" s="294"/>
      <c r="AO255" s="294"/>
      <c r="AP255" s="294" t="s">
        <v>2267</v>
      </c>
      <c r="AQ255" s="294" t="s">
        <v>2268</v>
      </c>
      <c r="AR255" s="157">
        <v>24.04</v>
      </c>
      <c r="AS255" s="282" t="s">
        <v>2269</v>
      </c>
      <c r="AT255" s="282" t="s">
        <v>2270</v>
      </c>
      <c r="AU255" s="282"/>
      <c r="AV255" s="282"/>
      <c r="AW255" s="282"/>
      <c r="AX255" s="282"/>
      <c r="AY255" s="282"/>
      <c r="AZ255" s="282"/>
      <c r="BA255" s="251">
        <v>10.536</v>
      </c>
      <c r="BB255" s="251">
        <v>2.786</v>
      </c>
      <c r="BC255" s="251">
        <v>15.071999999999999</v>
      </c>
      <c r="BD255" s="111">
        <f t="shared" si="70"/>
        <v>0.25602597066666666</v>
      </c>
      <c r="BE255" s="251">
        <v>0.64</v>
      </c>
      <c r="BF255" s="251">
        <v>15.68</v>
      </c>
      <c r="BG255" s="251">
        <v>11.81</v>
      </c>
      <c r="BH255" s="251">
        <v>9.6199999999999992</v>
      </c>
      <c r="BI255" s="111">
        <f t="shared" si="67"/>
        <v>1.0309255185185184</v>
      </c>
      <c r="BJ255" s="251">
        <f t="shared" si="71"/>
        <v>2.3199999999999998</v>
      </c>
      <c r="BK255" s="343"/>
      <c r="BL255" s="343"/>
      <c r="BM255" s="250" t="s">
        <v>764</v>
      </c>
      <c r="BN255" s="251">
        <v>3</v>
      </c>
      <c r="BO255" s="251">
        <v>10</v>
      </c>
      <c r="BP255" s="251">
        <v>4</v>
      </c>
      <c r="BQ255" s="27">
        <f t="shared" si="68"/>
        <v>120</v>
      </c>
      <c r="BR255" s="27">
        <f t="shared" si="69"/>
        <v>142.80000000000001</v>
      </c>
      <c r="BS255" s="27" t="s">
        <v>886</v>
      </c>
      <c r="BT255" s="27" t="s">
        <v>766</v>
      </c>
      <c r="BU255" s="14"/>
      <c r="BV255" s="14"/>
      <c r="BW255" s="14"/>
      <c r="BX255" s="299"/>
      <c r="BY255" s="299"/>
      <c r="BZ255" s="299"/>
      <c r="CA255" s="299"/>
      <c r="CB255" s="299"/>
      <c r="CC255" s="299"/>
      <c r="CD255" s="299"/>
      <c r="CE255" s="299"/>
    </row>
    <row r="256" spans="1:83" s="300" customFormat="1" x14ac:dyDescent="0.25">
      <c r="A256" s="278">
        <v>41685</v>
      </c>
      <c r="B256" s="278"/>
      <c r="C256" s="251" t="s">
        <v>2271</v>
      </c>
      <c r="D256" s="251" t="s">
        <v>735</v>
      </c>
      <c r="E256" s="250" t="s">
        <v>2272</v>
      </c>
      <c r="F256" s="301" t="s">
        <v>2273</v>
      </c>
      <c r="G256" s="218" t="s">
        <v>963</v>
      </c>
      <c r="H256" s="25" t="s">
        <v>2274</v>
      </c>
      <c r="I256" s="201"/>
      <c r="J256" s="25"/>
      <c r="K256" s="25"/>
      <c r="L256" s="26"/>
      <c r="M256" s="275"/>
      <c r="N256" s="275"/>
      <c r="O256" s="261"/>
      <c r="P256" s="261"/>
      <c r="Q256" s="261"/>
      <c r="R256" s="261"/>
      <c r="S256" s="261"/>
      <c r="T256" s="261"/>
      <c r="U256" s="294"/>
      <c r="V256" s="294"/>
      <c r="W256" s="25">
        <v>83014</v>
      </c>
      <c r="X256" s="294"/>
      <c r="Y256" s="295"/>
      <c r="Z256" s="294"/>
      <c r="AA256" s="295"/>
      <c r="AB256" s="295" t="s">
        <v>2275</v>
      </c>
      <c r="AC256" s="294" t="s">
        <v>2276</v>
      </c>
      <c r="AD256" s="294"/>
      <c r="AE256" s="294"/>
      <c r="AF256" s="294"/>
      <c r="AG256" s="294"/>
      <c r="AH256" s="294"/>
      <c r="AI256" s="294"/>
      <c r="AJ256" s="294"/>
      <c r="AK256" s="294">
        <v>9014</v>
      </c>
      <c r="AL256" s="294" t="s">
        <v>2277</v>
      </c>
      <c r="AM256" s="294" t="s">
        <v>2278</v>
      </c>
      <c r="AN256" s="294" t="s">
        <v>2279</v>
      </c>
      <c r="AO256" s="294"/>
      <c r="AP256" s="294" t="s">
        <v>2280</v>
      </c>
      <c r="AQ256" s="294" t="s">
        <v>2281</v>
      </c>
      <c r="AR256" s="157">
        <v>13.51</v>
      </c>
      <c r="AS256" s="282" t="s">
        <v>2282</v>
      </c>
      <c r="AT256" s="282" t="s">
        <v>2283</v>
      </c>
      <c r="AU256" s="282"/>
      <c r="AV256" s="282"/>
      <c r="AW256" s="282"/>
      <c r="AX256" s="282"/>
      <c r="AY256" s="282"/>
      <c r="AZ256" s="282"/>
      <c r="BA256" s="251">
        <v>7.0359999999999996</v>
      </c>
      <c r="BB256" s="251">
        <v>7.0359999999999996</v>
      </c>
      <c r="BC256" s="251">
        <v>7.2519999999999998</v>
      </c>
      <c r="BD256" s="111">
        <f t="shared" si="70"/>
        <v>0.20776180937037034</v>
      </c>
      <c r="BE256" s="251">
        <v>0.65</v>
      </c>
      <c r="BF256" s="251">
        <v>21.75</v>
      </c>
      <c r="BG256" s="251">
        <v>7.43</v>
      </c>
      <c r="BH256" s="251">
        <v>7.81</v>
      </c>
      <c r="BI256" s="111">
        <f t="shared" si="67"/>
        <v>0.73039092881944445</v>
      </c>
      <c r="BJ256" s="251">
        <f t="shared" si="71"/>
        <v>2.35</v>
      </c>
      <c r="BK256" s="343"/>
      <c r="BL256" s="343"/>
      <c r="BM256" s="250" t="s">
        <v>764</v>
      </c>
      <c r="BN256" s="251">
        <v>3</v>
      </c>
      <c r="BO256" s="251">
        <v>10</v>
      </c>
      <c r="BP256" s="251">
        <v>5</v>
      </c>
      <c r="BQ256" s="27">
        <f t="shared" si="68"/>
        <v>150</v>
      </c>
      <c r="BR256" s="27">
        <f t="shared" si="69"/>
        <v>167.5</v>
      </c>
      <c r="BS256" s="251" t="s">
        <v>765</v>
      </c>
      <c r="BT256" s="27" t="s">
        <v>766</v>
      </c>
      <c r="BU256" s="14"/>
      <c r="BV256" s="14"/>
      <c r="BW256" s="14"/>
      <c r="BX256" s="299"/>
      <c r="BY256" s="299"/>
      <c r="BZ256" s="299"/>
      <c r="CA256" s="299"/>
      <c r="CB256" s="299"/>
      <c r="CC256" s="299"/>
      <c r="CD256" s="299"/>
      <c r="CE256" s="299"/>
    </row>
    <row r="257" spans="1:83" s="300" customFormat="1" x14ac:dyDescent="0.25">
      <c r="A257" s="278">
        <v>41685</v>
      </c>
      <c r="B257" s="278"/>
      <c r="C257" s="251" t="s">
        <v>2284</v>
      </c>
      <c r="D257" s="251" t="s">
        <v>735</v>
      </c>
      <c r="E257" s="250" t="s">
        <v>2191</v>
      </c>
      <c r="F257" s="301" t="s">
        <v>2285</v>
      </c>
      <c r="G257" s="218" t="s">
        <v>865</v>
      </c>
      <c r="H257" s="25" t="s">
        <v>2286</v>
      </c>
      <c r="I257" s="201"/>
      <c r="J257" s="25"/>
      <c r="K257" s="25"/>
      <c r="L257" s="26"/>
      <c r="M257" s="275"/>
      <c r="N257" s="275"/>
      <c r="O257" s="261"/>
      <c r="P257" s="261"/>
      <c r="Q257" s="261"/>
      <c r="R257" s="261"/>
      <c r="S257" s="261"/>
      <c r="T257" s="261"/>
      <c r="U257" s="294"/>
      <c r="V257" s="294"/>
      <c r="W257" s="25">
        <v>83610</v>
      </c>
      <c r="X257" s="294"/>
      <c r="Y257" s="295"/>
      <c r="Z257" s="294"/>
      <c r="AA257" s="295"/>
      <c r="AB257" s="295" t="s">
        <v>2287</v>
      </c>
      <c r="AC257" s="294" t="s">
        <v>2288</v>
      </c>
      <c r="AD257" s="294"/>
      <c r="AE257" s="294" t="s">
        <v>2289</v>
      </c>
      <c r="AF257" s="294"/>
      <c r="AG257" s="294"/>
      <c r="AH257" s="294"/>
      <c r="AI257" s="294"/>
      <c r="AJ257" s="294"/>
      <c r="AK257" s="294">
        <v>9610</v>
      </c>
      <c r="AL257" s="294" t="s">
        <v>2290</v>
      </c>
      <c r="AM257" s="294" t="s">
        <v>2291</v>
      </c>
      <c r="AN257" s="294"/>
      <c r="AO257" s="294"/>
      <c r="AP257" s="294" t="s">
        <v>2292</v>
      </c>
      <c r="AQ257" s="294" t="s">
        <v>2293</v>
      </c>
      <c r="AR257" s="157">
        <v>16.11</v>
      </c>
      <c r="AS257" s="282" t="s">
        <v>2294</v>
      </c>
      <c r="AT257" s="282" t="s">
        <v>2295</v>
      </c>
      <c r="AU257" s="282"/>
      <c r="AV257" s="282"/>
      <c r="AW257" s="282"/>
      <c r="AX257" s="282"/>
      <c r="AY257" s="282"/>
      <c r="AZ257" s="282"/>
      <c r="BA257" s="251">
        <v>7.7859999999999996</v>
      </c>
      <c r="BB257" s="251">
        <v>2.536</v>
      </c>
      <c r="BC257" s="251">
        <v>12.821999999999999</v>
      </c>
      <c r="BD257" s="111">
        <f t="shared" si="70"/>
        <v>0.14651283872222221</v>
      </c>
      <c r="BE257" s="251">
        <v>0.8</v>
      </c>
      <c r="BF257" s="251">
        <v>13.5</v>
      </c>
      <c r="BG257" s="251">
        <v>8.25</v>
      </c>
      <c r="BH257" s="251">
        <v>8.5</v>
      </c>
      <c r="BI257" s="111">
        <f t="shared" si="67"/>
        <v>0.5478515625</v>
      </c>
      <c r="BJ257" s="251">
        <f t="shared" si="71"/>
        <v>2.8000000000000003</v>
      </c>
      <c r="BK257" s="343"/>
      <c r="BL257" s="343"/>
      <c r="BM257" s="250" t="s">
        <v>764</v>
      </c>
      <c r="BN257" s="251">
        <v>3</v>
      </c>
      <c r="BO257" s="251">
        <v>14</v>
      </c>
      <c r="BP257" s="251">
        <v>5</v>
      </c>
      <c r="BQ257" s="27">
        <f t="shared" si="68"/>
        <v>210</v>
      </c>
      <c r="BR257" s="27">
        <f t="shared" si="69"/>
        <v>246</v>
      </c>
      <c r="BS257" s="251" t="s">
        <v>769</v>
      </c>
      <c r="BT257" s="27" t="s">
        <v>766</v>
      </c>
      <c r="BU257" s="14"/>
      <c r="BV257" s="14"/>
      <c r="BW257" s="14"/>
      <c r="BX257" s="299"/>
      <c r="BY257" s="299"/>
      <c r="BZ257" s="299"/>
      <c r="CA257" s="299"/>
      <c r="CB257" s="299"/>
      <c r="CC257" s="299"/>
      <c r="CD257" s="299"/>
      <c r="CE257" s="299"/>
    </row>
    <row r="258" spans="1:83" s="300" customFormat="1" ht="30" x14ac:dyDescent="0.25">
      <c r="A258" s="278">
        <v>41685</v>
      </c>
      <c r="B258" s="278"/>
      <c r="C258" s="251" t="s">
        <v>2296</v>
      </c>
      <c r="D258" s="251" t="s">
        <v>735</v>
      </c>
      <c r="E258" s="250" t="s">
        <v>2297</v>
      </c>
      <c r="F258" s="301" t="s">
        <v>2298</v>
      </c>
      <c r="G258" s="218" t="s">
        <v>1029</v>
      </c>
      <c r="H258" s="25" t="s">
        <v>2299</v>
      </c>
      <c r="I258" s="201"/>
      <c r="J258" s="25"/>
      <c r="K258" s="25"/>
      <c r="L258" s="26"/>
      <c r="M258" s="275"/>
      <c r="N258" s="275"/>
      <c r="O258" s="261"/>
      <c r="P258" s="261"/>
      <c r="Q258" s="261"/>
      <c r="R258" s="261"/>
      <c r="S258" s="261"/>
      <c r="T258" s="261"/>
      <c r="U258" s="294"/>
      <c r="V258" s="294"/>
      <c r="W258" s="25">
        <v>84260</v>
      </c>
      <c r="X258" s="294"/>
      <c r="Y258" s="295"/>
      <c r="Z258" s="294" t="s">
        <v>2296</v>
      </c>
      <c r="AA258" s="295"/>
      <c r="AB258" s="295" t="s">
        <v>2300</v>
      </c>
      <c r="AC258" s="294"/>
      <c r="AD258" s="294"/>
      <c r="AE258" s="294"/>
      <c r="AF258" s="294"/>
      <c r="AG258" s="294"/>
      <c r="AH258" s="294"/>
      <c r="AI258" s="294"/>
      <c r="AJ258" s="294"/>
      <c r="AK258" s="294">
        <v>7260</v>
      </c>
      <c r="AL258" s="294" t="s">
        <v>2301</v>
      </c>
      <c r="AM258" s="294" t="s">
        <v>2302</v>
      </c>
      <c r="AN258" s="294"/>
      <c r="AO258" s="294"/>
      <c r="AP258" s="294" t="s">
        <v>2303</v>
      </c>
      <c r="AQ258" s="294" t="s">
        <v>2304</v>
      </c>
      <c r="AR258" s="157">
        <v>9.4499999999999993</v>
      </c>
      <c r="AS258" s="282" t="s">
        <v>2305</v>
      </c>
      <c r="AT258" s="282" t="s">
        <v>2306</v>
      </c>
      <c r="AU258" s="282"/>
      <c r="AV258" s="282"/>
      <c r="AW258" s="282"/>
      <c r="AX258" s="282"/>
      <c r="AY258" s="282"/>
      <c r="AZ258" s="282"/>
      <c r="BA258" s="251">
        <v>2.786</v>
      </c>
      <c r="BB258" s="251">
        <v>2.786</v>
      </c>
      <c r="BC258" s="251">
        <v>3.6970000000000001</v>
      </c>
      <c r="BD258" s="111">
        <f t="shared" si="70"/>
        <v>1.6606111002314815E-2</v>
      </c>
      <c r="BE258" s="251">
        <v>0.4</v>
      </c>
      <c r="BF258" s="251">
        <v>9</v>
      </c>
      <c r="BG258" s="251">
        <v>6.25</v>
      </c>
      <c r="BH258" s="251">
        <v>4.37</v>
      </c>
      <c r="BI258" s="111">
        <f t="shared" si="67"/>
        <v>0.14225260416666666</v>
      </c>
      <c r="BJ258" s="251">
        <f>BE258*BN258+0.25</f>
        <v>2.6500000000000004</v>
      </c>
      <c r="BK258" s="343"/>
      <c r="BL258" s="343"/>
      <c r="BM258" s="250" t="s">
        <v>764</v>
      </c>
      <c r="BN258" s="251">
        <v>6</v>
      </c>
      <c r="BO258" s="251">
        <v>30</v>
      </c>
      <c r="BP258" s="251">
        <v>10</v>
      </c>
      <c r="BQ258" s="27">
        <f t="shared" si="68"/>
        <v>1800</v>
      </c>
      <c r="BR258" s="27">
        <f t="shared" si="69"/>
        <v>845.00000000000011</v>
      </c>
      <c r="BS258" s="251" t="s">
        <v>769</v>
      </c>
      <c r="BT258" s="27" t="s">
        <v>766</v>
      </c>
      <c r="BU258" s="14"/>
      <c r="BV258" s="14"/>
      <c r="BW258" s="14"/>
      <c r="BX258" s="299"/>
      <c r="BY258" s="299"/>
      <c r="BZ258" s="299"/>
      <c r="CA258" s="299"/>
      <c r="CB258" s="299"/>
      <c r="CC258" s="299"/>
      <c r="CD258" s="299"/>
      <c r="CE258" s="299"/>
    </row>
    <row r="259" spans="1:83" s="300" customFormat="1" ht="30" x14ac:dyDescent="0.25">
      <c r="A259" s="278">
        <v>41685</v>
      </c>
      <c r="B259" s="278"/>
      <c r="C259" s="251" t="s">
        <v>2307</v>
      </c>
      <c r="D259" s="251" t="s">
        <v>735</v>
      </c>
      <c r="E259" s="250" t="s">
        <v>2297</v>
      </c>
      <c r="F259" s="301" t="s">
        <v>2308</v>
      </c>
      <c r="G259" s="218" t="s">
        <v>908</v>
      </c>
      <c r="H259" s="25" t="s">
        <v>2309</v>
      </c>
      <c r="I259" s="201" t="s">
        <v>1976</v>
      </c>
      <c r="J259" s="25">
        <v>95810722210</v>
      </c>
      <c r="K259" s="25"/>
      <c r="L259" s="26"/>
      <c r="M259" s="275"/>
      <c r="N259" s="275"/>
      <c r="O259" s="261"/>
      <c r="P259" s="261"/>
      <c r="Q259" s="261"/>
      <c r="R259" s="261"/>
      <c r="S259" s="261"/>
      <c r="T259" s="261"/>
      <c r="U259" s="294"/>
      <c r="V259" s="294"/>
      <c r="W259" s="25">
        <v>84462</v>
      </c>
      <c r="X259" s="294"/>
      <c r="Y259" s="295"/>
      <c r="Z259" s="294" t="s">
        <v>2307</v>
      </c>
      <c r="AA259" s="295"/>
      <c r="AB259" s="295" t="s">
        <v>2310</v>
      </c>
      <c r="AC259" s="294" t="s">
        <v>2311</v>
      </c>
      <c r="AD259" s="294"/>
      <c r="AE259" s="294"/>
      <c r="AF259" s="294"/>
      <c r="AG259" s="294"/>
      <c r="AH259" s="294"/>
      <c r="AI259" s="294"/>
      <c r="AJ259" s="294"/>
      <c r="AK259" s="294">
        <v>7462</v>
      </c>
      <c r="AL259" s="294" t="s">
        <v>2312</v>
      </c>
      <c r="AM259" s="294" t="s">
        <v>2313</v>
      </c>
      <c r="AN259" s="294"/>
      <c r="AO259" s="294"/>
      <c r="AP259" s="294" t="s">
        <v>2314</v>
      </c>
      <c r="AQ259" s="294" t="s">
        <v>2315</v>
      </c>
      <c r="AR259" s="157">
        <v>15.19</v>
      </c>
      <c r="AS259" s="282" t="s">
        <v>2316</v>
      </c>
      <c r="AT259" s="282" t="s">
        <v>2317</v>
      </c>
      <c r="AU259" s="282"/>
      <c r="AV259" s="282"/>
      <c r="AW259" s="282"/>
      <c r="AX259" s="282"/>
      <c r="AY259" s="282"/>
      <c r="AZ259" s="282"/>
      <c r="BA259" s="251">
        <v>3.8479999999999999</v>
      </c>
      <c r="BB259" s="251">
        <v>3.8479999999999999</v>
      </c>
      <c r="BC259" s="251">
        <v>5.4470000000000001</v>
      </c>
      <c r="BD259" s="111">
        <f t="shared" si="70"/>
        <v>4.6674939518518511E-2</v>
      </c>
      <c r="BE259" s="251">
        <v>0.5</v>
      </c>
      <c r="BF259" s="251">
        <v>11.93</v>
      </c>
      <c r="BG259" s="251">
        <v>8</v>
      </c>
      <c r="BH259" s="251">
        <v>6</v>
      </c>
      <c r="BI259" s="111">
        <f t="shared" si="67"/>
        <v>0.3313888888888889</v>
      </c>
      <c r="BJ259" s="251">
        <f>BE259*BN259+0.25</f>
        <v>3.25</v>
      </c>
      <c r="BK259" s="343"/>
      <c r="BL259" s="343"/>
      <c r="BM259" s="250" t="s">
        <v>764</v>
      </c>
      <c r="BN259" s="251">
        <v>6</v>
      </c>
      <c r="BO259" s="251">
        <v>20</v>
      </c>
      <c r="BP259" s="251">
        <v>7</v>
      </c>
      <c r="BQ259" s="27">
        <f t="shared" si="68"/>
        <v>840</v>
      </c>
      <c r="BR259" s="27">
        <f t="shared" si="69"/>
        <v>505</v>
      </c>
      <c r="BS259" s="251" t="s">
        <v>951</v>
      </c>
      <c r="BT259" s="27" t="s">
        <v>766</v>
      </c>
      <c r="BU259" s="14"/>
      <c r="BV259" s="14"/>
      <c r="BW259" s="14"/>
      <c r="BX259" s="299"/>
      <c r="BY259" s="299"/>
      <c r="BZ259" s="299"/>
      <c r="CA259" s="299"/>
      <c r="CB259" s="299"/>
      <c r="CC259" s="299"/>
      <c r="CD259" s="299"/>
      <c r="CE259" s="299"/>
    </row>
    <row r="260" spans="1:83" s="300" customFormat="1" ht="30" x14ac:dyDescent="0.25">
      <c r="A260" s="278">
        <v>41685</v>
      </c>
      <c r="B260" s="278"/>
      <c r="C260" s="251" t="s">
        <v>2318</v>
      </c>
      <c r="D260" s="251" t="s">
        <v>735</v>
      </c>
      <c r="E260" s="250" t="s">
        <v>2205</v>
      </c>
      <c r="F260" s="301" t="s">
        <v>2319</v>
      </c>
      <c r="G260" s="218" t="s">
        <v>720</v>
      </c>
      <c r="H260" s="25" t="s">
        <v>2320</v>
      </c>
      <c r="I260" s="201" t="s">
        <v>49</v>
      </c>
      <c r="J260" s="25" t="s">
        <v>2321</v>
      </c>
      <c r="K260" s="25"/>
      <c r="L260" s="26"/>
      <c r="M260" s="275"/>
      <c r="N260" s="275"/>
      <c r="O260" s="261"/>
      <c r="P260" s="261"/>
      <c r="Q260" s="261"/>
      <c r="R260" s="261"/>
      <c r="S260" s="261"/>
      <c r="T260" s="261"/>
      <c r="U260" s="294"/>
      <c r="V260" s="294"/>
      <c r="W260" s="25">
        <v>89367</v>
      </c>
      <c r="X260" s="294"/>
      <c r="Y260" s="295"/>
      <c r="Z260" s="294"/>
      <c r="AA260" s="295"/>
      <c r="AB260" s="295" t="s">
        <v>2322</v>
      </c>
      <c r="AC260" s="294" t="s">
        <v>2323</v>
      </c>
      <c r="AD260" s="294"/>
      <c r="AE260" s="294"/>
      <c r="AF260" s="294"/>
      <c r="AG260" s="294"/>
      <c r="AH260" s="294"/>
      <c r="AI260" s="294"/>
      <c r="AJ260" s="294"/>
      <c r="AK260" s="294">
        <v>4367</v>
      </c>
      <c r="AL260" s="294" t="s">
        <v>2324</v>
      </c>
      <c r="AM260" s="294" t="s">
        <v>2324</v>
      </c>
      <c r="AN260" s="294" t="s">
        <v>2318</v>
      </c>
      <c r="AO260" s="294"/>
      <c r="AP260" s="294" t="s">
        <v>2325</v>
      </c>
      <c r="AQ260" s="294" t="s">
        <v>2326</v>
      </c>
      <c r="AR260" s="157">
        <v>19.809999999999999</v>
      </c>
      <c r="AS260" s="282" t="s">
        <v>2327</v>
      </c>
      <c r="AT260" s="282" t="s">
        <v>2328</v>
      </c>
      <c r="AU260" s="282"/>
      <c r="AV260" s="282"/>
      <c r="AW260" s="282"/>
      <c r="AX260" s="282"/>
      <c r="AY260" s="282"/>
      <c r="AZ260" s="282"/>
      <c r="BA260" s="397" t="s">
        <v>1505</v>
      </c>
      <c r="BB260" s="398"/>
      <c r="BC260" s="398"/>
      <c r="BD260" s="398"/>
      <c r="BE260" s="398"/>
      <c r="BF260" s="251">
        <v>12</v>
      </c>
      <c r="BG260" s="251">
        <v>12</v>
      </c>
      <c r="BH260" s="251">
        <v>9</v>
      </c>
      <c r="BI260" s="111">
        <f t="shared" si="67"/>
        <v>0.75</v>
      </c>
      <c r="BJ260" s="251">
        <v>1.69</v>
      </c>
      <c r="BK260" s="343"/>
      <c r="BL260" s="343"/>
      <c r="BM260" s="250" t="s">
        <v>764</v>
      </c>
      <c r="BN260" s="251">
        <v>6</v>
      </c>
      <c r="BO260" s="251">
        <v>12</v>
      </c>
      <c r="BP260" s="251">
        <v>5</v>
      </c>
      <c r="BQ260" s="27">
        <f t="shared" si="68"/>
        <v>360</v>
      </c>
      <c r="BR260" s="27">
        <f t="shared" si="69"/>
        <v>151.4</v>
      </c>
      <c r="BS260" s="27" t="s">
        <v>886</v>
      </c>
      <c r="BT260" s="27" t="s">
        <v>766</v>
      </c>
      <c r="BU260" s="14"/>
      <c r="BV260" s="14"/>
      <c r="BW260" s="14"/>
      <c r="BX260" s="299"/>
      <c r="BY260" s="299"/>
      <c r="BZ260" s="299"/>
      <c r="CA260" s="299"/>
      <c r="CB260" s="299"/>
      <c r="CC260" s="299"/>
      <c r="CD260" s="299"/>
      <c r="CE260" s="299"/>
    </row>
    <row r="261" spans="1:83" s="300" customFormat="1" ht="30" customHeight="1" x14ac:dyDescent="0.25">
      <c r="A261" s="278">
        <v>41671</v>
      </c>
      <c r="B261" s="278"/>
      <c r="C261" s="251" t="s">
        <v>2329</v>
      </c>
      <c r="D261" s="253" t="s">
        <v>60</v>
      </c>
      <c r="E261" s="301" t="s">
        <v>2330</v>
      </c>
      <c r="F261" s="302" t="s">
        <v>2331</v>
      </c>
      <c r="G261" s="218" t="s">
        <v>1273</v>
      </c>
      <c r="H261" s="218" t="s">
        <v>2332</v>
      </c>
      <c r="I261" s="25"/>
      <c r="J261" s="25"/>
      <c r="K261" s="25"/>
      <c r="L261" s="261"/>
      <c r="M261" s="261"/>
      <c r="N261" s="261"/>
      <c r="O261" s="261"/>
      <c r="P261" s="261"/>
      <c r="Q261" s="261"/>
      <c r="R261" s="261"/>
      <c r="S261" s="261"/>
      <c r="T261" s="261"/>
      <c r="U261" s="294" t="s">
        <v>2333</v>
      </c>
      <c r="V261" s="294"/>
      <c r="W261" s="25"/>
      <c r="X261" s="294"/>
      <c r="Y261" s="295" t="s">
        <v>2334</v>
      </c>
      <c r="Z261" s="294"/>
      <c r="AA261" s="295" t="s">
        <v>2335</v>
      </c>
      <c r="AB261" s="294"/>
      <c r="AC261" s="294"/>
      <c r="AD261" s="294"/>
      <c r="AE261" s="294"/>
      <c r="AF261" s="294"/>
      <c r="AG261" s="294"/>
      <c r="AH261" s="294"/>
      <c r="AI261" s="294"/>
      <c r="AJ261" s="294"/>
      <c r="AK261" s="294"/>
      <c r="AL261" s="294"/>
      <c r="AM261" s="294"/>
      <c r="AN261" s="294"/>
      <c r="AO261" s="294"/>
      <c r="AP261" s="294"/>
      <c r="AQ261" s="294"/>
      <c r="AR261" s="157">
        <v>98.12</v>
      </c>
      <c r="AS261" s="251" t="s">
        <v>2336</v>
      </c>
      <c r="AT261" s="251" t="s">
        <v>2337</v>
      </c>
      <c r="AU261" s="251"/>
      <c r="AV261" s="251"/>
      <c r="AW261" s="251"/>
      <c r="AX261" s="251"/>
      <c r="AY261" s="251"/>
      <c r="AZ261" s="251"/>
      <c r="BA261" s="396" t="s">
        <v>985</v>
      </c>
      <c r="BB261" s="396"/>
      <c r="BC261" s="396"/>
      <c r="BD261" s="396"/>
      <c r="BE261" s="396"/>
      <c r="BF261" s="303">
        <v>2.375</v>
      </c>
      <c r="BG261" s="303">
        <v>2.5</v>
      </c>
      <c r="BH261" s="303">
        <v>8.875</v>
      </c>
      <c r="BI261" s="111">
        <f t="shared" si="67"/>
        <v>3.0494972511574073E-2</v>
      </c>
      <c r="BJ261" s="304">
        <f>0.55+0.1</f>
        <v>0.65</v>
      </c>
      <c r="BK261" s="304"/>
      <c r="BL261" s="304"/>
      <c r="BM261" s="251" t="s">
        <v>764</v>
      </c>
      <c r="BN261" s="251">
        <v>1</v>
      </c>
      <c r="BO261" s="251">
        <v>156</v>
      </c>
      <c r="BP261" s="251">
        <v>4</v>
      </c>
      <c r="BQ261" s="27">
        <f t="shared" si="68"/>
        <v>624</v>
      </c>
      <c r="BR261" s="27">
        <f t="shared" si="69"/>
        <v>455.6</v>
      </c>
      <c r="BS261" s="27" t="s">
        <v>1279</v>
      </c>
      <c r="BT261" s="27" t="s">
        <v>766</v>
      </c>
      <c r="BU261" s="276"/>
      <c r="BV261" s="276"/>
      <c r="BW261" s="14"/>
      <c r="BX261" s="299"/>
      <c r="BY261" s="299"/>
      <c r="BZ261" s="299"/>
      <c r="CA261" s="299"/>
      <c r="CB261" s="299"/>
      <c r="CC261" s="299"/>
      <c r="CD261" s="299"/>
      <c r="CE261" s="299"/>
    </row>
    <row r="262" spans="1:83" s="300" customFormat="1" ht="30" x14ac:dyDescent="0.25">
      <c r="A262" s="278">
        <v>41671</v>
      </c>
      <c r="B262" s="278"/>
      <c r="C262" s="250" t="s">
        <v>2338</v>
      </c>
      <c r="D262" s="253" t="s">
        <v>60</v>
      </c>
      <c r="E262" s="301" t="s">
        <v>2339</v>
      </c>
      <c r="F262" s="290" t="s">
        <v>2340</v>
      </c>
      <c r="G262" s="261" t="s">
        <v>1149</v>
      </c>
      <c r="H262" s="253" t="s">
        <v>2341</v>
      </c>
      <c r="I262" s="25"/>
      <c r="J262" s="25"/>
      <c r="K262" s="25"/>
      <c r="L262" s="261"/>
      <c r="M262" s="261"/>
      <c r="N262" s="261"/>
      <c r="O262" s="261"/>
      <c r="P262" s="261"/>
      <c r="Q262" s="261"/>
      <c r="R262" s="261"/>
      <c r="S262" s="261"/>
      <c r="T262" s="261"/>
      <c r="U262" s="294" t="s">
        <v>2342</v>
      </c>
      <c r="V262" s="294"/>
      <c r="W262" s="25"/>
      <c r="X262" s="294"/>
      <c r="Y262" s="295"/>
      <c r="Z262" s="294"/>
      <c r="AA262" s="295" t="s">
        <v>2343</v>
      </c>
      <c r="AB262" s="294" t="s">
        <v>2344</v>
      </c>
      <c r="AC262" s="294"/>
      <c r="AD262" s="294"/>
      <c r="AE262" s="294"/>
      <c r="AF262" s="294"/>
      <c r="AG262" s="294"/>
      <c r="AH262" s="294"/>
      <c r="AI262" s="294"/>
      <c r="AJ262" s="294"/>
      <c r="AK262" s="294"/>
      <c r="AL262" s="294"/>
      <c r="AM262" s="294"/>
      <c r="AN262" s="294"/>
      <c r="AO262" s="294"/>
      <c r="AP262" s="294"/>
      <c r="AQ262" s="294">
        <v>57799</v>
      </c>
      <c r="AR262" s="157">
        <v>31.95</v>
      </c>
      <c r="AS262" s="282" t="s">
        <v>2345</v>
      </c>
      <c r="AT262" s="282" t="s">
        <v>2346</v>
      </c>
      <c r="AU262" s="282"/>
      <c r="AV262" s="282"/>
      <c r="AW262" s="282"/>
      <c r="AX262" s="282"/>
      <c r="AY262" s="282"/>
      <c r="AZ262" s="282"/>
      <c r="BA262" s="397" t="s">
        <v>1505</v>
      </c>
      <c r="BB262" s="398"/>
      <c r="BC262" s="398"/>
      <c r="BD262" s="398"/>
      <c r="BE262" s="398"/>
      <c r="BF262" s="113">
        <v>18.056000000000001</v>
      </c>
      <c r="BG262" s="113">
        <v>12.055999999999999</v>
      </c>
      <c r="BH262" s="113">
        <v>11.231999999999999</v>
      </c>
      <c r="BI262" s="111">
        <f t="shared" si="67"/>
        <v>1.4149403839999997</v>
      </c>
      <c r="BJ262" s="113">
        <f>3.5*6+0.4</f>
        <v>21.4</v>
      </c>
      <c r="BK262" s="341"/>
      <c r="BL262" s="341"/>
      <c r="BM262" s="250" t="s">
        <v>764</v>
      </c>
      <c r="BN262" s="250">
        <v>6</v>
      </c>
      <c r="BO262" s="250">
        <v>8</v>
      </c>
      <c r="BP262" s="250">
        <v>4</v>
      </c>
      <c r="BQ262" s="27">
        <f t="shared" si="68"/>
        <v>192</v>
      </c>
      <c r="BR262" s="27">
        <f t="shared" si="69"/>
        <v>734.8</v>
      </c>
      <c r="BS262" s="27" t="s">
        <v>886</v>
      </c>
      <c r="BT262" s="27" t="s">
        <v>766</v>
      </c>
      <c r="BU262" s="276"/>
      <c r="BV262" s="276"/>
      <c r="BW262" s="14"/>
      <c r="BX262" s="299"/>
      <c r="BY262" s="299"/>
      <c r="BZ262" s="299"/>
      <c r="CA262" s="299"/>
      <c r="CB262" s="299"/>
      <c r="CC262" s="299"/>
      <c r="CD262" s="299"/>
      <c r="CE262" s="299"/>
    </row>
    <row r="263" spans="1:83" s="300" customFormat="1" ht="15" customHeight="1" x14ac:dyDescent="0.25">
      <c r="A263" s="278">
        <v>41671</v>
      </c>
      <c r="B263" s="278"/>
      <c r="C263" s="251" t="s">
        <v>2347</v>
      </c>
      <c r="D263" s="253" t="s">
        <v>60</v>
      </c>
      <c r="E263" s="261" t="s">
        <v>2348</v>
      </c>
      <c r="F263" s="301" t="s">
        <v>2349</v>
      </c>
      <c r="G263" s="301" t="s">
        <v>2350</v>
      </c>
      <c r="H263" s="25" t="s">
        <v>2351</v>
      </c>
      <c r="I263" s="201"/>
      <c r="J263" s="25"/>
      <c r="K263" s="25"/>
      <c r="L263" s="261"/>
      <c r="M263" s="261"/>
      <c r="N263" s="261"/>
      <c r="O263" s="261"/>
      <c r="P263" s="261"/>
      <c r="Q263" s="261"/>
      <c r="R263" s="261"/>
      <c r="S263" s="261"/>
      <c r="T263" s="261"/>
      <c r="U263" s="294"/>
      <c r="V263" s="294"/>
      <c r="W263" s="25"/>
      <c r="X263" s="294"/>
      <c r="Y263" s="25" t="s">
        <v>2352</v>
      </c>
      <c r="Z263" s="294"/>
      <c r="AA263" s="25"/>
      <c r="AB263" s="294"/>
      <c r="AC263" s="294"/>
      <c r="AD263" s="294"/>
      <c r="AE263" s="294"/>
      <c r="AF263" s="294"/>
      <c r="AG263" s="294"/>
      <c r="AH263" s="294"/>
      <c r="AI263" s="294"/>
      <c r="AJ263" s="294"/>
      <c r="AK263" s="294"/>
      <c r="AL263" s="294"/>
      <c r="AM263" s="294"/>
      <c r="AN263" s="294"/>
      <c r="AO263" s="294"/>
      <c r="AP263" s="294"/>
      <c r="AQ263" s="294"/>
      <c r="AR263" s="157">
        <v>291.25</v>
      </c>
      <c r="AS263" s="251" t="s">
        <v>2353</v>
      </c>
      <c r="AT263" s="284">
        <v>10038568737110</v>
      </c>
      <c r="AU263" s="284"/>
      <c r="AV263" s="284"/>
      <c r="AW263" s="284"/>
      <c r="AX263" s="284"/>
      <c r="AY263" s="284"/>
      <c r="AZ263" s="284"/>
      <c r="BA263" s="396" t="s">
        <v>985</v>
      </c>
      <c r="BB263" s="396"/>
      <c r="BC263" s="396"/>
      <c r="BD263" s="396"/>
      <c r="BE263" s="396"/>
      <c r="BF263" s="303">
        <v>5.25</v>
      </c>
      <c r="BG263" s="303">
        <v>5.25</v>
      </c>
      <c r="BH263" s="303">
        <v>20.5</v>
      </c>
      <c r="BI263" s="111">
        <f t="shared" si="67"/>
        <v>0.32698567708333331</v>
      </c>
      <c r="BJ263" s="304">
        <v>3.25</v>
      </c>
      <c r="BK263" s="304"/>
      <c r="BL263" s="304"/>
      <c r="BM263" s="251" t="s">
        <v>764</v>
      </c>
      <c r="BN263" s="251">
        <v>1</v>
      </c>
      <c r="BO263" s="251">
        <v>36</v>
      </c>
      <c r="BP263" s="251">
        <v>2</v>
      </c>
      <c r="BQ263" s="27">
        <f t="shared" si="68"/>
        <v>72</v>
      </c>
      <c r="BR263" s="27">
        <f t="shared" si="69"/>
        <v>284</v>
      </c>
      <c r="BS263" s="27" t="s">
        <v>765</v>
      </c>
      <c r="BT263" s="27" t="s">
        <v>766</v>
      </c>
      <c r="BU263" s="276"/>
      <c r="BV263" s="276"/>
      <c r="BW263" s="14"/>
      <c r="BX263" s="299"/>
      <c r="BY263" s="299"/>
      <c r="BZ263" s="299"/>
      <c r="CA263" s="299"/>
      <c r="CB263" s="299"/>
      <c r="CC263" s="299"/>
      <c r="CD263" s="299"/>
      <c r="CE263" s="299"/>
    </row>
    <row r="264" spans="1:83" s="300" customFormat="1" ht="15" customHeight="1" x14ac:dyDescent="0.25">
      <c r="A264" s="278">
        <v>41671</v>
      </c>
      <c r="B264" s="278"/>
      <c r="C264" s="251" t="s">
        <v>2354</v>
      </c>
      <c r="D264" s="253" t="s">
        <v>60</v>
      </c>
      <c r="E264" s="261" t="s">
        <v>2355</v>
      </c>
      <c r="F264" s="301" t="s">
        <v>2356</v>
      </c>
      <c r="G264" s="218" t="s">
        <v>2357</v>
      </c>
      <c r="H264" s="25" t="s">
        <v>2358</v>
      </c>
      <c r="I264" s="201"/>
      <c r="J264" s="25"/>
      <c r="K264" s="25"/>
      <c r="L264" s="261"/>
      <c r="M264" s="261"/>
      <c r="N264" s="261"/>
      <c r="O264" s="261"/>
      <c r="P264" s="261"/>
      <c r="Q264" s="261"/>
      <c r="R264" s="261"/>
      <c r="S264" s="261"/>
      <c r="T264" s="261"/>
      <c r="U264" s="294" t="s">
        <v>2359</v>
      </c>
      <c r="V264" s="294"/>
      <c r="W264" s="25"/>
      <c r="X264" s="294"/>
      <c r="Y264" s="25" t="s">
        <v>2360</v>
      </c>
      <c r="Z264" s="294"/>
      <c r="AA264" s="25" t="s">
        <v>2361</v>
      </c>
      <c r="AB264" s="294" t="s">
        <v>2362</v>
      </c>
      <c r="AC264" s="294"/>
      <c r="AD264" s="294"/>
      <c r="AE264" s="294"/>
      <c r="AF264" s="294"/>
      <c r="AG264" s="294"/>
      <c r="AH264" s="294"/>
      <c r="AI264" s="294"/>
      <c r="AJ264" s="294"/>
      <c r="AK264" s="294"/>
      <c r="AL264" s="294" t="s">
        <v>2363</v>
      </c>
      <c r="AM264" s="294"/>
      <c r="AN264" s="294"/>
      <c r="AO264" s="294"/>
      <c r="AP264" s="294"/>
      <c r="AQ264" s="294">
        <v>42763</v>
      </c>
      <c r="AR264" s="157">
        <v>29.85</v>
      </c>
      <c r="AS264" s="251" t="s">
        <v>2364</v>
      </c>
      <c r="AT264" s="284">
        <v>10038568738018</v>
      </c>
      <c r="AU264" s="284"/>
      <c r="AV264" s="284"/>
      <c r="AW264" s="284"/>
      <c r="AX264" s="284"/>
      <c r="AY264" s="284"/>
      <c r="AZ264" s="284"/>
      <c r="BA264" s="396" t="s">
        <v>985</v>
      </c>
      <c r="BB264" s="396"/>
      <c r="BC264" s="396"/>
      <c r="BD264" s="396"/>
      <c r="BE264" s="396"/>
      <c r="BF264" s="303">
        <v>7.25</v>
      </c>
      <c r="BG264" s="303">
        <v>9.1199999999999992</v>
      </c>
      <c r="BH264" s="303">
        <v>14.5</v>
      </c>
      <c r="BI264" s="111">
        <f t="shared" si="67"/>
        <v>0.5548263888888888</v>
      </c>
      <c r="BJ264" s="304">
        <f>2.61+0.25</f>
        <v>2.86</v>
      </c>
      <c r="BK264" s="304"/>
      <c r="BL264" s="304"/>
      <c r="BM264" s="251" t="s">
        <v>764</v>
      </c>
      <c r="BN264" s="251">
        <v>1</v>
      </c>
      <c r="BO264" s="251">
        <v>13</v>
      </c>
      <c r="BP264" s="251">
        <v>5</v>
      </c>
      <c r="BQ264" s="27">
        <f t="shared" si="68"/>
        <v>65</v>
      </c>
      <c r="BR264" s="27">
        <f t="shared" si="69"/>
        <v>235.9</v>
      </c>
      <c r="BS264" s="27" t="s">
        <v>886</v>
      </c>
      <c r="BT264" s="27" t="s">
        <v>766</v>
      </c>
      <c r="BU264" s="276"/>
      <c r="BV264" s="276"/>
      <c r="BW264" s="14"/>
      <c r="BX264" s="299"/>
      <c r="BY264" s="299"/>
      <c r="BZ264" s="299"/>
      <c r="CA264" s="299"/>
      <c r="CB264" s="299"/>
      <c r="CC264" s="299"/>
      <c r="CD264" s="299"/>
      <c r="CE264" s="299"/>
    </row>
    <row r="265" spans="1:83" s="300" customFormat="1" ht="30" x14ac:dyDescent="0.25">
      <c r="A265" s="278">
        <v>41671</v>
      </c>
      <c r="B265" s="278"/>
      <c r="C265" s="250" t="s">
        <v>2365</v>
      </c>
      <c r="D265" s="253" t="s">
        <v>718</v>
      </c>
      <c r="E265" s="261" t="s">
        <v>696</v>
      </c>
      <c r="F265" s="301" t="s">
        <v>2366</v>
      </c>
      <c r="G265" s="218" t="s">
        <v>963</v>
      </c>
      <c r="H265" s="25" t="s">
        <v>2367</v>
      </c>
      <c r="I265" s="25" t="s">
        <v>1533</v>
      </c>
      <c r="J265" s="25" t="s">
        <v>2368</v>
      </c>
      <c r="K265" s="25"/>
      <c r="L265" s="261"/>
      <c r="M265" s="261"/>
      <c r="N265" s="261"/>
      <c r="O265" s="261"/>
      <c r="P265" s="261"/>
      <c r="Q265" s="261"/>
      <c r="R265" s="261"/>
      <c r="S265" s="261"/>
      <c r="T265" s="261"/>
      <c r="U265" s="294"/>
      <c r="V265" s="294"/>
      <c r="W265" s="25">
        <v>83746</v>
      </c>
      <c r="X265" s="294"/>
      <c r="Y265" s="25"/>
      <c r="Z265" s="294"/>
      <c r="AA265" s="25"/>
      <c r="AB265" s="294" t="s">
        <v>2369</v>
      </c>
      <c r="AC265" s="294" t="s">
        <v>2370</v>
      </c>
      <c r="AD265" s="294"/>
      <c r="AE265" s="294" t="s">
        <v>2371</v>
      </c>
      <c r="AF265" s="294"/>
      <c r="AG265" s="294"/>
      <c r="AH265" s="294"/>
      <c r="AI265" s="294" t="s">
        <v>2365</v>
      </c>
      <c r="AJ265" s="294"/>
      <c r="AK265" s="294">
        <v>9746</v>
      </c>
      <c r="AL265" s="294" t="s">
        <v>2372</v>
      </c>
      <c r="AM265" s="294" t="s">
        <v>2373</v>
      </c>
      <c r="AN265" s="294"/>
      <c r="AO265" s="294"/>
      <c r="AP265" s="294" t="s">
        <v>2374</v>
      </c>
      <c r="AQ265" s="294">
        <v>49746</v>
      </c>
      <c r="AR265" s="157">
        <v>26.95</v>
      </c>
      <c r="AS265" s="282" t="s">
        <v>2375</v>
      </c>
      <c r="AT265" s="284">
        <v>10038568738315</v>
      </c>
      <c r="AU265" s="284"/>
      <c r="AV265" s="284"/>
      <c r="AW265" s="284"/>
      <c r="AX265" s="284"/>
      <c r="AY265" s="284"/>
      <c r="AZ265" s="284"/>
      <c r="BA265" s="303">
        <v>10.536</v>
      </c>
      <c r="BB265" s="303">
        <v>2.786</v>
      </c>
      <c r="BC265" s="303">
        <v>15.036</v>
      </c>
      <c r="BD265" s="111">
        <f>(BC265*BB265*BA265)/1728</f>
        <v>0.25541444366666666</v>
      </c>
      <c r="BE265" s="303">
        <f>0.81+0.1</f>
        <v>0.91</v>
      </c>
      <c r="BF265" s="303">
        <v>15.68</v>
      </c>
      <c r="BG265" s="303">
        <v>11.81</v>
      </c>
      <c r="BH265" s="303">
        <v>9.6199999999999992</v>
      </c>
      <c r="BI265" s="111">
        <f t="shared" si="67"/>
        <v>1.0309255185185184</v>
      </c>
      <c r="BJ265" s="304">
        <f>BE265*BN265</f>
        <v>2.73</v>
      </c>
      <c r="BK265" s="304"/>
      <c r="BL265" s="304"/>
      <c r="BM265" s="251" t="s">
        <v>764</v>
      </c>
      <c r="BN265" s="251">
        <v>3</v>
      </c>
      <c r="BO265" s="251">
        <v>10</v>
      </c>
      <c r="BP265" s="251">
        <v>4</v>
      </c>
      <c r="BQ265" s="27">
        <f t="shared" si="68"/>
        <v>120</v>
      </c>
      <c r="BR265" s="27">
        <f t="shared" si="69"/>
        <v>159.19999999999999</v>
      </c>
      <c r="BS265" s="27" t="s">
        <v>769</v>
      </c>
      <c r="BT265" s="27" t="s">
        <v>766</v>
      </c>
      <c r="BU265" s="276"/>
      <c r="BV265" s="276"/>
      <c r="BW265" s="14"/>
      <c r="BX265" s="299"/>
      <c r="BY265" s="299"/>
      <c r="BZ265" s="299"/>
      <c r="CA265" s="299"/>
      <c r="CB265" s="299"/>
      <c r="CC265" s="299"/>
      <c r="CD265" s="299"/>
      <c r="CE265" s="299"/>
    </row>
    <row r="266" spans="1:83" s="300" customFormat="1" x14ac:dyDescent="0.25">
      <c r="A266" s="278">
        <v>41671</v>
      </c>
      <c r="B266" s="278"/>
      <c r="C266" s="251" t="s">
        <v>2376</v>
      </c>
      <c r="D266" s="253" t="s">
        <v>718</v>
      </c>
      <c r="E266" s="261" t="s">
        <v>696</v>
      </c>
      <c r="F266" s="301" t="s">
        <v>2377</v>
      </c>
      <c r="G266" s="218" t="s">
        <v>899</v>
      </c>
      <c r="H266" s="25" t="s">
        <v>2378</v>
      </c>
      <c r="I266" s="25"/>
      <c r="J266" s="25"/>
      <c r="K266" s="25"/>
      <c r="L266" s="261"/>
      <c r="M266" s="261"/>
      <c r="N266" s="261"/>
      <c r="O266" s="261"/>
      <c r="P266" s="261"/>
      <c r="Q266" s="261"/>
      <c r="R266" s="261"/>
      <c r="S266" s="261"/>
      <c r="T266" s="261"/>
      <c r="U266" s="294"/>
      <c r="V266" s="294"/>
      <c r="W266" s="25"/>
      <c r="X266" s="294"/>
      <c r="Y266" s="25"/>
      <c r="Z266" s="294"/>
      <c r="AA266" s="25"/>
      <c r="AB266" s="294" t="s">
        <v>2379</v>
      </c>
      <c r="AC266" s="294"/>
      <c r="AD266" s="294"/>
      <c r="AE266" s="294"/>
      <c r="AF266" s="294"/>
      <c r="AG266" s="294"/>
      <c r="AH266" s="294"/>
      <c r="AI266" s="294"/>
      <c r="AJ266" s="294"/>
      <c r="AK266" s="294"/>
      <c r="AL266" s="294" t="s">
        <v>2380</v>
      </c>
      <c r="AM266" s="294" t="s">
        <v>2381</v>
      </c>
      <c r="AN266" s="294"/>
      <c r="AO266" s="294"/>
      <c r="AP266" s="294" t="s">
        <v>2382</v>
      </c>
      <c r="AQ266" s="294"/>
      <c r="AR266" s="157">
        <v>19.649999999999999</v>
      </c>
      <c r="AS266" s="282" t="s">
        <v>2383</v>
      </c>
      <c r="AT266" s="284">
        <v>10038568738322</v>
      </c>
      <c r="AU266" s="284"/>
      <c r="AV266" s="284"/>
      <c r="AW266" s="284"/>
      <c r="AX266" s="284"/>
      <c r="AY266" s="284"/>
      <c r="AZ266" s="284"/>
      <c r="BA266" s="303">
        <v>10.036</v>
      </c>
      <c r="BB266" s="303">
        <v>2.536</v>
      </c>
      <c r="BC266" s="303">
        <v>12.571999999999999</v>
      </c>
      <c r="BD266" s="111">
        <f>(BC266*BB266*BA266)/1728</f>
        <v>0.18516996140740738</v>
      </c>
      <c r="BE266" s="303">
        <f>0.78925+0.1</f>
        <v>0.88924999999999998</v>
      </c>
      <c r="BF266" s="303">
        <v>13.25</v>
      </c>
      <c r="BG266" s="303">
        <v>11</v>
      </c>
      <c r="BH266" s="303">
        <v>9</v>
      </c>
      <c r="BI266" s="111">
        <f t="shared" si="67"/>
        <v>0.75911458333333337</v>
      </c>
      <c r="BJ266" s="304">
        <f>BE266*BN266</f>
        <v>2.6677499999999998</v>
      </c>
      <c r="BK266" s="304"/>
      <c r="BL266" s="304"/>
      <c r="BM266" s="251" t="s">
        <v>764</v>
      </c>
      <c r="BN266" s="251">
        <v>3</v>
      </c>
      <c r="BO266" s="251">
        <v>12</v>
      </c>
      <c r="BP266" s="251">
        <v>4</v>
      </c>
      <c r="BQ266" s="27">
        <f t="shared" si="68"/>
        <v>144</v>
      </c>
      <c r="BR266" s="27">
        <f t="shared" si="69"/>
        <v>178.05199999999999</v>
      </c>
      <c r="BS266" s="27" t="s">
        <v>765</v>
      </c>
      <c r="BT266" s="27" t="s">
        <v>766</v>
      </c>
      <c r="BU266" s="276"/>
      <c r="BV266" s="276"/>
      <c r="BW266" s="14"/>
      <c r="BX266" s="299"/>
      <c r="BY266" s="299"/>
      <c r="BZ266" s="299"/>
      <c r="CA266" s="299"/>
      <c r="CB266" s="299"/>
      <c r="CC266" s="299"/>
      <c r="CD266" s="299"/>
      <c r="CE266" s="299"/>
    </row>
    <row r="267" spans="1:83" s="300" customFormat="1" x14ac:dyDescent="0.25">
      <c r="A267" s="278">
        <v>41671</v>
      </c>
      <c r="B267" s="278"/>
      <c r="C267" s="250" t="s">
        <v>2384</v>
      </c>
      <c r="D267" s="253" t="s">
        <v>735</v>
      </c>
      <c r="E267" s="261" t="s">
        <v>696</v>
      </c>
      <c r="F267" s="301" t="s">
        <v>2385</v>
      </c>
      <c r="G267" s="218" t="s">
        <v>865</v>
      </c>
      <c r="H267" s="25" t="s">
        <v>2386</v>
      </c>
      <c r="I267" s="201"/>
      <c r="J267" s="25"/>
      <c r="K267" s="25"/>
      <c r="L267" s="261"/>
      <c r="M267" s="261"/>
      <c r="N267" s="261"/>
      <c r="O267" s="261"/>
      <c r="P267" s="261"/>
      <c r="Q267" s="261"/>
      <c r="R267" s="261"/>
      <c r="S267" s="261"/>
      <c r="T267" s="261"/>
      <c r="U267" s="294"/>
      <c r="V267" s="294"/>
      <c r="W267" s="25"/>
      <c r="X267" s="294"/>
      <c r="Y267" s="25"/>
      <c r="Z267" s="294"/>
      <c r="AA267" s="25"/>
      <c r="AB267" s="294" t="s">
        <v>2387</v>
      </c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 t="s">
        <v>2388</v>
      </c>
      <c r="AM267" s="294" t="s">
        <v>2389</v>
      </c>
      <c r="AN267" s="294"/>
      <c r="AO267" s="294"/>
      <c r="AP267" s="294" t="s">
        <v>2390</v>
      </c>
      <c r="AQ267" s="294">
        <v>49091</v>
      </c>
      <c r="AR267" s="157">
        <v>27.93</v>
      </c>
      <c r="AS267" s="282" t="s">
        <v>2391</v>
      </c>
      <c r="AT267" s="282" t="s">
        <v>2392</v>
      </c>
      <c r="AU267" s="282"/>
      <c r="AV267" s="282"/>
      <c r="AW267" s="282"/>
      <c r="AX267" s="282"/>
      <c r="AY267" s="282"/>
      <c r="AZ267" s="282"/>
      <c r="BA267" s="113">
        <v>7.476</v>
      </c>
      <c r="BB267" s="113">
        <v>2.786</v>
      </c>
      <c r="BC267" s="113">
        <v>9.5719999999999992</v>
      </c>
      <c r="BD267" s="111">
        <f>(BC267*BB267*BA267)/1728</f>
        <v>0.11537437372222221</v>
      </c>
      <c r="BE267" s="113">
        <f>0.5+0.1</f>
        <v>0.6</v>
      </c>
      <c r="BF267" s="113">
        <v>8.625</v>
      </c>
      <c r="BG267" s="113">
        <v>8.625</v>
      </c>
      <c r="BH267" s="113">
        <v>10.75</v>
      </c>
      <c r="BI267" s="111">
        <f t="shared" si="67"/>
        <v>0.46278889973958331</v>
      </c>
      <c r="BJ267" s="113">
        <f>BE267*BN267+0.4</f>
        <v>2.1999999999999997</v>
      </c>
      <c r="BK267" s="341"/>
      <c r="BL267" s="341"/>
      <c r="BM267" s="250" t="s">
        <v>764</v>
      </c>
      <c r="BN267" s="250">
        <v>3</v>
      </c>
      <c r="BO267" s="250">
        <v>20</v>
      </c>
      <c r="BP267" s="250">
        <v>4</v>
      </c>
      <c r="BQ267" s="27">
        <f t="shared" si="68"/>
        <v>240</v>
      </c>
      <c r="BR267" s="27">
        <f t="shared" si="69"/>
        <v>225.99999999999997</v>
      </c>
      <c r="BS267" s="27" t="s">
        <v>769</v>
      </c>
      <c r="BT267" s="27" t="s">
        <v>766</v>
      </c>
      <c r="BU267" s="276"/>
      <c r="BV267" s="276"/>
      <c r="BW267" s="14"/>
      <c r="BX267" s="299"/>
      <c r="BY267" s="299"/>
      <c r="BZ267" s="299"/>
      <c r="CA267" s="299"/>
      <c r="CB267" s="299"/>
      <c r="CC267" s="299"/>
      <c r="CD267" s="299"/>
      <c r="CE267" s="299"/>
    </row>
    <row r="268" spans="1:83" s="300" customFormat="1" x14ac:dyDescent="0.25">
      <c r="A268" s="278">
        <v>41671</v>
      </c>
      <c r="B268" s="278"/>
      <c r="C268" s="250" t="s">
        <v>2393</v>
      </c>
      <c r="D268" s="253" t="s">
        <v>735</v>
      </c>
      <c r="E268" s="261" t="s">
        <v>696</v>
      </c>
      <c r="F268" s="301" t="s">
        <v>2394</v>
      </c>
      <c r="G268" s="218" t="s">
        <v>49</v>
      </c>
      <c r="H268" s="25" t="s">
        <v>2395</v>
      </c>
      <c r="I268" s="201"/>
      <c r="J268" s="25"/>
      <c r="K268" s="25"/>
      <c r="L268" s="261"/>
      <c r="M268" s="261"/>
      <c r="N268" s="261"/>
      <c r="O268" s="261"/>
      <c r="P268" s="261"/>
      <c r="Q268" s="261"/>
      <c r="R268" s="261"/>
      <c r="S268" s="261"/>
      <c r="T268" s="261"/>
      <c r="U268" s="294" t="s">
        <v>2396</v>
      </c>
      <c r="V268" s="294"/>
      <c r="W268" s="25"/>
      <c r="X268" s="294"/>
      <c r="Y268" s="25"/>
      <c r="Z268" s="294"/>
      <c r="AA268" s="25"/>
      <c r="AB268" s="294" t="s">
        <v>2397</v>
      </c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 t="s">
        <v>2398</v>
      </c>
      <c r="AM268" s="294" t="s">
        <v>2399</v>
      </c>
      <c r="AN268" s="294"/>
      <c r="AO268" s="294"/>
      <c r="AP268" s="294" t="s">
        <v>2400</v>
      </c>
      <c r="AQ268" s="294">
        <v>49017</v>
      </c>
      <c r="AR268" s="157">
        <v>20.96</v>
      </c>
      <c r="AS268" s="282" t="s">
        <v>2401</v>
      </c>
      <c r="AT268" s="282" t="s">
        <v>2402</v>
      </c>
      <c r="AU268" s="282"/>
      <c r="AV268" s="282"/>
      <c r="AW268" s="282"/>
      <c r="AX268" s="282"/>
      <c r="AY268" s="282"/>
      <c r="AZ268" s="282"/>
      <c r="BA268" s="113">
        <v>6.9660000000000002</v>
      </c>
      <c r="BB268" s="113">
        <v>6.9660000000000002</v>
      </c>
      <c r="BC268" s="113">
        <v>9.1920000000000002</v>
      </c>
      <c r="BD268" s="111">
        <f>(BC268*BB268*BA268)/1728</f>
        <v>0.25812687150000008</v>
      </c>
      <c r="BE268" s="113">
        <v>0.4</v>
      </c>
      <c r="BF268" s="113">
        <v>22.12</v>
      </c>
      <c r="BG268" s="113">
        <v>10.119999999999999</v>
      </c>
      <c r="BH268" s="113">
        <v>10.37</v>
      </c>
      <c r="BI268" s="111">
        <f t="shared" si="67"/>
        <v>1.3433854907407408</v>
      </c>
      <c r="BJ268" s="113">
        <f>BE268*BN268+0.4</f>
        <v>1.6</v>
      </c>
      <c r="BK268" s="341"/>
      <c r="BL268" s="341"/>
      <c r="BM268" s="250" t="s">
        <v>764</v>
      </c>
      <c r="BN268" s="250">
        <v>3</v>
      </c>
      <c r="BO268" s="250">
        <v>6</v>
      </c>
      <c r="BP268" s="250">
        <v>4</v>
      </c>
      <c r="BQ268" s="27">
        <f t="shared" si="68"/>
        <v>72</v>
      </c>
      <c r="BR268" s="27">
        <f t="shared" si="69"/>
        <v>88.4</v>
      </c>
      <c r="BS268" s="250" t="s">
        <v>779</v>
      </c>
      <c r="BT268" s="27" t="s">
        <v>766</v>
      </c>
      <c r="BU268" s="276"/>
      <c r="BV268" s="276"/>
      <c r="BW268" s="14"/>
      <c r="BX268" s="299"/>
      <c r="BY268" s="299"/>
      <c r="BZ268" s="299"/>
      <c r="CA268" s="299"/>
      <c r="CB268" s="299"/>
      <c r="CC268" s="299"/>
      <c r="CD268" s="299"/>
      <c r="CE268" s="299"/>
    </row>
    <row r="269" spans="1:83" s="300" customFormat="1" x14ac:dyDescent="0.25">
      <c r="A269" s="278">
        <v>41671</v>
      </c>
      <c r="B269" s="278"/>
      <c r="C269" s="250" t="s">
        <v>2403</v>
      </c>
      <c r="D269" s="253" t="s">
        <v>735</v>
      </c>
      <c r="E269" s="261" t="s">
        <v>696</v>
      </c>
      <c r="F269" s="301" t="s">
        <v>2404</v>
      </c>
      <c r="G269" s="218" t="s">
        <v>899</v>
      </c>
      <c r="H269" s="25" t="s">
        <v>2405</v>
      </c>
      <c r="I269" s="201"/>
      <c r="J269" s="25"/>
      <c r="K269" s="25"/>
      <c r="L269" s="261"/>
      <c r="M269" s="261"/>
      <c r="N269" s="261"/>
      <c r="O269" s="261"/>
      <c r="P269" s="261"/>
      <c r="Q269" s="261"/>
      <c r="R269" s="261"/>
      <c r="S269" s="261"/>
      <c r="T269" s="261"/>
      <c r="U269" s="294"/>
      <c r="V269" s="294"/>
      <c r="W269" s="25">
        <v>83022</v>
      </c>
      <c r="X269" s="294"/>
      <c r="Y269" s="25"/>
      <c r="Z269" s="294"/>
      <c r="AA269" s="25"/>
      <c r="AB269" s="294" t="s">
        <v>2406</v>
      </c>
      <c r="AC269" s="294"/>
      <c r="AD269" s="294"/>
      <c r="AE269" s="294" t="s">
        <v>2407</v>
      </c>
      <c r="AF269" s="294"/>
      <c r="AG269" s="294"/>
      <c r="AH269" s="294"/>
      <c r="AI269" s="294"/>
      <c r="AJ269" s="294"/>
      <c r="AK269" s="294"/>
      <c r="AL269" s="294" t="s">
        <v>2408</v>
      </c>
      <c r="AM269" s="294" t="s">
        <v>2409</v>
      </c>
      <c r="AN269" s="294" t="s">
        <v>2410</v>
      </c>
      <c r="AO269" s="294"/>
      <c r="AP269" s="294" t="s">
        <v>2411</v>
      </c>
      <c r="AQ269" s="294">
        <v>49022</v>
      </c>
      <c r="AR269" s="157">
        <v>12.93</v>
      </c>
      <c r="AS269" s="282" t="s">
        <v>2412</v>
      </c>
      <c r="AT269" s="282" t="s">
        <v>2413</v>
      </c>
      <c r="AU269" s="282"/>
      <c r="AV269" s="282"/>
      <c r="AW269" s="282"/>
      <c r="AX269" s="282"/>
      <c r="AY269" s="282"/>
      <c r="AZ269" s="282"/>
      <c r="BA269" s="259">
        <v>7.0359999999999996</v>
      </c>
      <c r="BB269" s="259">
        <v>2.536</v>
      </c>
      <c r="BC269" s="259">
        <v>11.821999999999999</v>
      </c>
      <c r="BD269" s="111">
        <f>(BC269*BB269*BA269)/1728</f>
        <v>0.12207375307407406</v>
      </c>
      <c r="BE269" s="113">
        <v>0.55000000000000004</v>
      </c>
      <c r="BF269" s="113">
        <v>12.25</v>
      </c>
      <c r="BG269" s="113">
        <v>7.5</v>
      </c>
      <c r="BH269" s="113">
        <v>8.5</v>
      </c>
      <c r="BI269" s="111">
        <f t="shared" si="67"/>
        <v>0.4519314236111111</v>
      </c>
      <c r="BJ269" s="259">
        <f>BE269*BN269+0.25</f>
        <v>1.9000000000000001</v>
      </c>
      <c r="BK269" s="342"/>
      <c r="BL269" s="342"/>
      <c r="BM269" s="251" t="s">
        <v>764</v>
      </c>
      <c r="BN269" s="251">
        <v>3</v>
      </c>
      <c r="BO269" s="251">
        <v>20</v>
      </c>
      <c r="BP269" s="251">
        <v>5</v>
      </c>
      <c r="BQ269" s="27">
        <f t="shared" si="68"/>
        <v>300</v>
      </c>
      <c r="BR269" s="27">
        <f t="shared" si="69"/>
        <v>240</v>
      </c>
      <c r="BS269" s="250" t="s">
        <v>951</v>
      </c>
      <c r="BT269" s="27" t="s">
        <v>766</v>
      </c>
      <c r="BU269" s="276"/>
      <c r="BV269" s="276"/>
      <c r="BW269" s="14"/>
      <c r="BX269" s="299"/>
      <c r="BY269" s="299"/>
      <c r="BZ269" s="299"/>
      <c r="CA269" s="299"/>
      <c r="CB269" s="299"/>
      <c r="CC269" s="299"/>
      <c r="CD269" s="299"/>
      <c r="CE269" s="299"/>
    </row>
    <row r="270" spans="1:83" s="300" customFormat="1" x14ac:dyDescent="0.25">
      <c r="A270" s="278">
        <v>41671</v>
      </c>
      <c r="B270" s="278"/>
      <c r="C270" s="250" t="s">
        <v>2414</v>
      </c>
      <c r="D270" s="253" t="s">
        <v>735</v>
      </c>
      <c r="E270" s="261" t="s">
        <v>2415</v>
      </c>
      <c r="F270" s="301" t="s">
        <v>2416</v>
      </c>
      <c r="G270" s="218" t="s">
        <v>2417</v>
      </c>
      <c r="H270" s="25" t="s">
        <v>2418</v>
      </c>
      <c r="I270" s="201" t="s">
        <v>2419</v>
      </c>
      <c r="J270" s="25"/>
      <c r="K270" s="25"/>
      <c r="L270" s="261"/>
      <c r="M270" s="261"/>
      <c r="N270" s="261"/>
      <c r="O270" s="261"/>
      <c r="P270" s="261"/>
      <c r="Q270" s="261"/>
      <c r="R270" s="261"/>
      <c r="S270" s="261"/>
      <c r="T270" s="261"/>
      <c r="U270" s="294" t="s">
        <v>2420</v>
      </c>
      <c r="V270" s="294"/>
      <c r="W270" s="25"/>
      <c r="X270" s="294"/>
      <c r="Y270" s="25"/>
      <c r="Z270" s="294"/>
      <c r="AA270" s="25"/>
      <c r="AB270" s="294" t="s">
        <v>2421</v>
      </c>
      <c r="AC270" s="294"/>
      <c r="AD270" s="294"/>
      <c r="AE270" s="294"/>
      <c r="AF270" s="294"/>
      <c r="AG270" s="294"/>
      <c r="AH270" s="294"/>
      <c r="AI270" s="294"/>
      <c r="AJ270" s="294"/>
      <c r="AK270" s="294"/>
      <c r="AL270" s="294" t="s">
        <v>2422</v>
      </c>
      <c r="AM270" s="294" t="s">
        <v>2422</v>
      </c>
      <c r="AN270" s="294" t="s">
        <v>2414</v>
      </c>
      <c r="AO270" s="294"/>
      <c r="AP270" s="294" t="s">
        <v>2423</v>
      </c>
      <c r="AQ270" s="294">
        <v>49359</v>
      </c>
      <c r="AR270" s="157">
        <v>40.47</v>
      </c>
      <c r="AS270" s="282" t="s">
        <v>2424</v>
      </c>
      <c r="AT270" s="282" t="s">
        <v>2425</v>
      </c>
      <c r="AU270" s="282"/>
      <c r="AV270" s="282"/>
      <c r="AW270" s="282"/>
      <c r="AX270" s="282"/>
      <c r="AY270" s="282"/>
      <c r="AZ270" s="282"/>
      <c r="BA270" s="397" t="s">
        <v>1505</v>
      </c>
      <c r="BB270" s="398"/>
      <c r="BC270" s="398"/>
      <c r="BD270" s="398"/>
      <c r="BE270" s="398"/>
      <c r="BF270" s="113">
        <v>11.87</v>
      </c>
      <c r="BG270" s="113">
        <v>9</v>
      </c>
      <c r="BH270" s="113">
        <v>9</v>
      </c>
      <c r="BI270" s="111">
        <f t="shared" si="67"/>
        <v>0.55640624999999999</v>
      </c>
      <c r="BJ270" s="113">
        <v>1.9</v>
      </c>
      <c r="BK270" s="341"/>
      <c r="BL270" s="341"/>
      <c r="BM270" s="250" t="s">
        <v>764</v>
      </c>
      <c r="BN270" s="250">
        <v>6</v>
      </c>
      <c r="BO270" s="250">
        <v>17</v>
      </c>
      <c r="BP270" s="250">
        <v>5</v>
      </c>
      <c r="BQ270" s="27">
        <f t="shared" si="68"/>
        <v>510</v>
      </c>
      <c r="BR270" s="27">
        <f t="shared" si="69"/>
        <v>211.5</v>
      </c>
      <c r="BS270" s="27" t="s">
        <v>769</v>
      </c>
      <c r="BT270" s="27" t="s">
        <v>766</v>
      </c>
      <c r="BU270" s="276"/>
      <c r="BV270" s="276"/>
      <c r="BW270" s="14"/>
      <c r="BX270" s="299"/>
      <c r="BY270" s="299"/>
      <c r="BZ270" s="299"/>
      <c r="CA270" s="299"/>
      <c r="CB270" s="299"/>
      <c r="CC270" s="299"/>
      <c r="CD270" s="299"/>
      <c r="CE270" s="299"/>
    </row>
    <row r="271" spans="1:83" s="300" customFormat="1" x14ac:dyDescent="0.25">
      <c r="A271" s="278">
        <v>41671</v>
      </c>
      <c r="B271" s="278"/>
      <c r="C271" s="250" t="s">
        <v>2426</v>
      </c>
      <c r="D271" s="253" t="s">
        <v>735</v>
      </c>
      <c r="E271" s="261" t="s">
        <v>2415</v>
      </c>
      <c r="F271" s="301" t="s">
        <v>2427</v>
      </c>
      <c r="G271" s="218" t="s">
        <v>2417</v>
      </c>
      <c r="H271" s="25" t="s">
        <v>2428</v>
      </c>
      <c r="I271" s="201"/>
      <c r="J271" s="25"/>
      <c r="K271" s="25"/>
      <c r="L271" s="261"/>
      <c r="M271" s="261"/>
      <c r="N271" s="261"/>
      <c r="O271" s="261"/>
      <c r="P271" s="261"/>
      <c r="Q271" s="261"/>
      <c r="R271" s="261"/>
      <c r="S271" s="261"/>
      <c r="T271" s="261"/>
      <c r="U271" s="294"/>
      <c r="V271" s="294"/>
      <c r="W271" s="25"/>
      <c r="X271" s="294"/>
      <c r="Y271" s="25"/>
      <c r="Z271" s="294"/>
      <c r="AA271" s="25"/>
      <c r="AB271" s="294"/>
      <c r="AC271" s="294"/>
      <c r="AD271" s="294"/>
      <c r="AE271" s="294"/>
      <c r="AF271" s="294"/>
      <c r="AG271" s="294"/>
      <c r="AH271" s="294"/>
      <c r="AI271" s="294"/>
      <c r="AJ271" s="294"/>
      <c r="AK271" s="294"/>
      <c r="AL271" s="294" t="s">
        <v>2429</v>
      </c>
      <c r="AM271" s="294" t="s">
        <v>2429</v>
      </c>
      <c r="AN271" s="294" t="s">
        <v>2426</v>
      </c>
      <c r="AO271" s="294"/>
      <c r="AP271" s="294" t="s">
        <v>2430</v>
      </c>
      <c r="AQ271" s="294">
        <v>24030</v>
      </c>
      <c r="AR271" s="157">
        <v>17.07</v>
      </c>
      <c r="AS271" s="282" t="s">
        <v>2431</v>
      </c>
      <c r="AT271" s="282" t="s">
        <v>2432</v>
      </c>
      <c r="AU271" s="282"/>
      <c r="AV271" s="282"/>
      <c r="AW271" s="282"/>
      <c r="AX271" s="282"/>
      <c r="AY271" s="282"/>
      <c r="AZ271" s="282"/>
      <c r="BA271" s="397" t="s">
        <v>1505</v>
      </c>
      <c r="BB271" s="398"/>
      <c r="BC271" s="398"/>
      <c r="BD271" s="398"/>
      <c r="BE271" s="398"/>
      <c r="BF271" s="113">
        <v>14.87</v>
      </c>
      <c r="BG271" s="113">
        <v>10</v>
      </c>
      <c r="BH271" s="113">
        <v>10.5</v>
      </c>
      <c r="BI271" s="111">
        <f t="shared" si="67"/>
        <v>0.90355902777777775</v>
      </c>
      <c r="BJ271" s="113">
        <f>0.25*6*0.4</f>
        <v>0.60000000000000009</v>
      </c>
      <c r="BK271" s="341"/>
      <c r="BL271" s="341"/>
      <c r="BM271" s="250" t="s">
        <v>764</v>
      </c>
      <c r="BN271" s="250">
        <v>6</v>
      </c>
      <c r="BO271" s="250">
        <v>12</v>
      </c>
      <c r="BP271" s="250">
        <v>4</v>
      </c>
      <c r="BQ271" s="27">
        <f t="shared" si="68"/>
        <v>288</v>
      </c>
      <c r="BR271" s="27">
        <f t="shared" si="69"/>
        <v>78.800000000000011</v>
      </c>
      <c r="BS271" s="27" t="s">
        <v>769</v>
      </c>
      <c r="BT271" s="27" t="s">
        <v>766</v>
      </c>
      <c r="BU271" s="276"/>
      <c r="BV271" s="276"/>
      <c r="BW271" s="14"/>
      <c r="BX271" s="299"/>
      <c r="BY271" s="299"/>
      <c r="BZ271" s="299"/>
      <c r="CA271" s="299"/>
      <c r="CB271" s="299"/>
      <c r="CC271" s="299"/>
      <c r="CD271" s="299"/>
      <c r="CE271" s="299"/>
    </row>
    <row r="272" spans="1:83" s="300" customFormat="1" x14ac:dyDescent="0.25">
      <c r="A272" s="278">
        <v>41671</v>
      </c>
      <c r="B272" s="278"/>
      <c r="C272" s="250" t="s">
        <v>2433</v>
      </c>
      <c r="D272" s="253" t="s">
        <v>735</v>
      </c>
      <c r="E272" s="261" t="s">
        <v>2415</v>
      </c>
      <c r="F272" s="301" t="s">
        <v>2434</v>
      </c>
      <c r="G272" s="218" t="s">
        <v>923</v>
      </c>
      <c r="H272" s="25" t="s">
        <v>2435</v>
      </c>
      <c r="I272" s="201"/>
      <c r="J272" s="25"/>
      <c r="K272" s="25"/>
      <c r="L272" s="261"/>
      <c r="M272" s="261"/>
      <c r="N272" s="261"/>
      <c r="O272" s="261"/>
      <c r="P272" s="261"/>
      <c r="Q272" s="261"/>
      <c r="R272" s="261"/>
      <c r="S272" s="261"/>
      <c r="T272" s="261"/>
      <c r="U272" s="294"/>
      <c r="V272" s="294"/>
      <c r="W272" s="25"/>
      <c r="X272" s="294"/>
      <c r="Y272" s="25"/>
      <c r="Z272" s="294"/>
      <c r="AA272" s="25"/>
      <c r="AB272" s="294" t="s">
        <v>2436</v>
      </c>
      <c r="AC272" s="294"/>
      <c r="AD272" s="294"/>
      <c r="AE272" s="294"/>
      <c r="AF272" s="294"/>
      <c r="AG272" s="294"/>
      <c r="AH272" s="294"/>
      <c r="AI272" s="294"/>
      <c r="AJ272" s="294"/>
      <c r="AK272" s="294"/>
      <c r="AL272" s="294" t="s">
        <v>2437</v>
      </c>
      <c r="AM272" s="294" t="s">
        <v>2437</v>
      </c>
      <c r="AN272" s="294" t="s">
        <v>2433</v>
      </c>
      <c r="AO272" s="294"/>
      <c r="AP272" s="294" t="s">
        <v>2438</v>
      </c>
      <c r="AQ272" s="294">
        <v>24148</v>
      </c>
      <c r="AR272" s="157">
        <v>19.91</v>
      </c>
      <c r="AS272" s="282" t="s">
        <v>2439</v>
      </c>
      <c r="AT272" s="282" t="s">
        <v>2440</v>
      </c>
      <c r="AU272" s="282"/>
      <c r="AV272" s="282"/>
      <c r="AW272" s="282"/>
      <c r="AX272" s="282"/>
      <c r="AY272" s="282"/>
      <c r="AZ272" s="282"/>
      <c r="BA272" s="397" t="s">
        <v>1505</v>
      </c>
      <c r="BB272" s="398"/>
      <c r="BC272" s="398"/>
      <c r="BD272" s="398"/>
      <c r="BE272" s="398"/>
      <c r="BF272" s="113">
        <v>9.75</v>
      </c>
      <c r="BG272" s="113">
        <v>8.18</v>
      </c>
      <c r="BH272" s="113">
        <v>8.5</v>
      </c>
      <c r="BI272" s="111">
        <f t="shared" si="67"/>
        <v>0.39231336805555556</v>
      </c>
      <c r="BJ272" s="113">
        <f>0.11*6+0.4</f>
        <v>1.06</v>
      </c>
      <c r="BK272" s="341"/>
      <c r="BL272" s="341"/>
      <c r="BM272" s="250" t="s">
        <v>764</v>
      </c>
      <c r="BN272" s="250">
        <v>6</v>
      </c>
      <c r="BO272" s="250">
        <v>20</v>
      </c>
      <c r="BP272" s="250">
        <v>5</v>
      </c>
      <c r="BQ272" s="27">
        <f t="shared" si="68"/>
        <v>600</v>
      </c>
      <c r="BR272" s="27">
        <f t="shared" si="69"/>
        <v>156</v>
      </c>
      <c r="BS272" s="27" t="s">
        <v>769</v>
      </c>
      <c r="BT272" s="27" t="s">
        <v>766</v>
      </c>
      <c r="BU272" s="276"/>
      <c r="BV272" s="276"/>
      <c r="BW272" s="14"/>
      <c r="BX272" s="299"/>
      <c r="BY272" s="299"/>
      <c r="BZ272" s="299"/>
      <c r="CA272" s="299"/>
      <c r="CB272" s="299"/>
      <c r="CC272" s="299"/>
      <c r="CD272" s="299"/>
      <c r="CE272" s="299"/>
    </row>
    <row r="273" spans="1:83" s="300" customFormat="1" x14ac:dyDescent="0.25">
      <c r="A273" s="278">
        <v>41671</v>
      </c>
      <c r="B273" s="278"/>
      <c r="C273" s="250" t="s">
        <v>2441</v>
      </c>
      <c r="D273" s="253" t="s">
        <v>735</v>
      </c>
      <c r="E273" s="261" t="s">
        <v>2415</v>
      </c>
      <c r="F273" s="301" t="s">
        <v>2442</v>
      </c>
      <c r="G273" s="218" t="s">
        <v>963</v>
      </c>
      <c r="H273" s="25" t="s">
        <v>2443</v>
      </c>
      <c r="I273" s="201"/>
      <c r="J273" s="25"/>
      <c r="K273" s="25"/>
      <c r="L273" s="261"/>
      <c r="M273" s="261"/>
      <c r="N273" s="261"/>
      <c r="O273" s="261"/>
      <c r="P273" s="261"/>
      <c r="Q273" s="261"/>
      <c r="R273" s="261"/>
      <c r="S273" s="261"/>
      <c r="T273" s="261"/>
      <c r="U273" s="294" t="s">
        <v>2444</v>
      </c>
      <c r="V273" s="294"/>
      <c r="W273" s="25"/>
      <c r="X273" s="294"/>
      <c r="Y273" s="25"/>
      <c r="Z273" s="294"/>
      <c r="AA273" s="25"/>
      <c r="AB273" s="294" t="s">
        <v>2445</v>
      </c>
      <c r="AC273" s="294"/>
      <c r="AD273" s="294"/>
      <c r="AE273" s="294"/>
      <c r="AF273" s="294"/>
      <c r="AG273" s="294"/>
      <c r="AH273" s="294"/>
      <c r="AI273" s="294"/>
      <c r="AJ273" s="294"/>
      <c r="AK273" s="294"/>
      <c r="AL273" s="294" t="s">
        <v>2446</v>
      </c>
      <c r="AM273" s="294"/>
      <c r="AN273" s="294"/>
      <c r="AO273" s="294"/>
      <c r="AP273" s="294" t="s">
        <v>2447</v>
      </c>
      <c r="AQ273" s="294"/>
      <c r="AR273" s="157">
        <v>23.5</v>
      </c>
      <c r="AS273" s="282" t="s">
        <v>2448</v>
      </c>
      <c r="AT273" s="282" t="s">
        <v>2449</v>
      </c>
      <c r="AU273" s="282"/>
      <c r="AV273" s="282"/>
      <c r="AW273" s="282"/>
      <c r="AX273" s="282"/>
      <c r="AY273" s="282"/>
      <c r="AZ273" s="282"/>
      <c r="BA273" s="397" t="s">
        <v>1505</v>
      </c>
      <c r="BB273" s="398"/>
      <c r="BC273" s="398"/>
      <c r="BD273" s="398"/>
      <c r="BE273" s="398"/>
      <c r="BF273" s="113">
        <v>12</v>
      </c>
      <c r="BG273" s="113">
        <v>10.37</v>
      </c>
      <c r="BH273" s="113">
        <v>10.62</v>
      </c>
      <c r="BI273" s="111">
        <f t="shared" si="67"/>
        <v>0.76478749999999995</v>
      </c>
      <c r="BJ273" s="259">
        <v>1.75</v>
      </c>
      <c r="BK273" s="342"/>
      <c r="BL273" s="342"/>
      <c r="BM273" s="251" t="s">
        <v>764</v>
      </c>
      <c r="BN273" s="251">
        <v>6</v>
      </c>
      <c r="BO273" s="251">
        <v>12</v>
      </c>
      <c r="BP273" s="251">
        <v>4</v>
      </c>
      <c r="BQ273" s="27">
        <f t="shared" si="68"/>
        <v>288</v>
      </c>
      <c r="BR273" s="27">
        <f t="shared" si="69"/>
        <v>134</v>
      </c>
      <c r="BS273" s="251" t="s">
        <v>886</v>
      </c>
      <c r="BT273" s="27" t="s">
        <v>766</v>
      </c>
      <c r="BU273" s="276"/>
      <c r="BV273" s="276"/>
      <c r="BW273" s="14"/>
      <c r="BX273" s="299"/>
      <c r="BY273" s="299"/>
      <c r="BZ273" s="299"/>
      <c r="CA273" s="299"/>
      <c r="CB273" s="299"/>
      <c r="CC273" s="299"/>
      <c r="CD273" s="299"/>
      <c r="CE273" s="299"/>
    </row>
    <row r="274" spans="1:83" s="300" customFormat="1" ht="30" x14ac:dyDescent="0.25">
      <c r="A274" s="278">
        <v>41640</v>
      </c>
      <c r="B274" s="278"/>
      <c r="C274" s="251" t="s">
        <v>2450</v>
      </c>
      <c r="D274" s="253" t="s">
        <v>60</v>
      </c>
      <c r="E274" s="261" t="s">
        <v>697</v>
      </c>
      <c r="F274" s="301" t="s">
        <v>2451</v>
      </c>
      <c r="G274" s="218" t="s">
        <v>2452</v>
      </c>
      <c r="H274" s="25" t="s">
        <v>2453</v>
      </c>
      <c r="I274" s="25" t="s">
        <v>2454</v>
      </c>
      <c r="J274" s="25">
        <v>28040481</v>
      </c>
      <c r="K274" s="25" t="s">
        <v>2455</v>
      </c>
      <c r="L274" s="26" t="s">
        <v>2456</v>
      </c>
      <c r="M274" s="275"/>
      <c r="N274" s="275"/>
      <c r="O274" s="275"/>
      <c r="P274" s="275"/>
      <c r="Q274" s="261"/>
      <c r="R274" s="261"/>
      <c r="S274" s="261"/>
      <c r="T274" s="261"/>
      <c r="U274" s="281"/>
      <c r="V274" s="281"/>
      <c r="W274" s="281"/>
      <c r="X274" s="281"/>
      <c r="Y274" s="25" t="s">
        <v>2457</v>
      </c>
      <c r="Z274" s="281"/>
      <c r="AA274" s="25" t="s">
        <v>2458</v>
      </c>
      <c r="AB274" s="281"/>
      <c r="AC274" s="281"/>
      <c r="AD274" s="281"/>
      <c r="AE274" s="281"/>
      <c r="AF274" s="281"/>
      <c r="AG274" s="281"/>
      <c r="AH274" s="281"/>
      <c r="AI274" s="281"/>
      <c r="AJ274" s="281"/>
      <c r="AK274" s="281"/>
      <c r="AL274" s="281"/>
      <c r="AM274" s="301"/>
      <c r="AN274" s="281"/>
      <c r="AO274" s="281"/>
      <c r="AP274" s="281"/>
      <c r="AQ274" s="281"/>
      <c r="AR274" s="157">
        <v>12.68</v>
      </c>
      <c r="AS274" s="282">
        <v>38568737922</v>
      </c>
      <c r="AT274" s="284">
        <v>10038568737929</v>
      </c>
      <c r="AU274" s="284"/>
      <c r="AV274" s="284"/>
      <c r="AW274" s="284"/>
      <c r="AX274" s="284"/>
      <c r="AY274" s="284"/>
      <c r="AZ274" s="284"/>
      <c r="BA274" s="394" t="s">
        <v>2459</v>
      </c>
      <c r="BB274" s="394"/>
      <c r="BC274" s="394"/>
      <c r="BD274" s="394"/>
      <c r="BE274" s="394"/>
      <c r="BF274" s="303">
        <v>15.81</v>
      </c>
      <c r="BG274" s="303">
        <v>11.93</v>
      </c>
      <c r="BH274" s="303">
        <v>29.5</v>
      </c>
      <c r="BI274" s="111">
        <f>(BH274*BG274*BF274)/1728</f>
        <v>3.2199608506944446</v>
      </c>
      <c r="BJ274" s="304">
        <f>1.2*12+0.4</f>
        <v>14.799999999999999</v>
      </c>
      <c r="BK274" s="304"/>
      <c r="BL274" s="304"/>
      <c r="BM274" s="251" t="s">
        <v>764</v>
      </c>
      <c r="BN274" s="251">
        <v>12</v>
      </c>
      <c r="BO274" s="251">
        <v>10</v>
      </c>
      <c r="BP274" s="251">
        <v>7</v>
      </c>
      <c r="BQ274" s="27">
        <f>BN274*BO274*BP274</f>
        <v>840</v>
      </c>
      <c r="BR274" s="27">
        <f>(BJ274*BO274*BP274)+50</f>
        <v>1086</v>
      </c>
      <c r="BS274" s="27" t="s">
        <v>886</v>
      </c>
      <c r="BT274" s="27" t="s">
        <v>766</v>
      </c>
      <c r="BU274" s="276">
        <v>73</v>
      </c>
      <c r="BV274" s="276"/>
      <c r="BW274" s="276"/>
      <c r="BX274" s="14"/>
      <c r="BY274" s="14"/>
      <c r="BZ274" s="299"/>
      <c r="CA274" s="299"/>
      <c r="CB274" s="299"/>
      <c r="CC274" s="299"/>
      <c r="CD274" s="299"/>
      <c r="CE274" s="299"/>
    </row>
    <row r="275" spans="1:83" s="300" customFormat="1" ht="90" x14ac:dyDescent="0.25">
      <c r="A275" s="278">
        <v>41640</v>
      </c>
      <c r="B275" s="278"/>
      <c r="C275" s="214" t="s">
        <v>2460</v>
      </c>
      <c r="D275" s="214" t="s">
        <v>60</v>
      </c>
      <c r="E275" s="305" t="s">
        <v>2461</v>
      </c>
      <c r="F275" s="214" t="s">
        <v>2462</v>
      </c>
      <c r="G275" s="218" t="s">
        <v>2463</v>
      </c>
      <c r="H275" s="25" t="s">
        <v>2464</v>
      </c>
      <c r="I275" s="25" t="s">
        <v>980</v>
      </c>
      <c r="J275" s="25" t="s">
        <v>2465</v>
      </c>
      <c r="K275" s="25" t="s">
        <v>1583</v>
      </c>
      <c r="L275" s="26" t="s">
        <v>2466</v>
      </c>
      <c r="M275" s="25" t="s">
        <v>2467</v>
      </c>
      <c r="N275" s="26" t="s">
        <v>2468</v>
      </c>
      <c r="O275" s="25" t="s">
        <v>1351</v>
      </c>
      <c r="P275" s="25" t="s">
        <v>2469</v>
      </c>
      <c r="Q275" s="261"/>
      <c r="R275" s="261"/>
      <c r="S275" s="261"/>
      <c r="T275" s="261"/>
      <c r="U275" s="262" t="s">
        <v>2470</v>
      </c>
      <c r="V275" s="262"/>
      <c r="W275" s="25" t="s">
        <v>2471</v>
      </c>
      <c r="X275" s="262"/>
      <c r="Y275" s="25" t="s">
        <v>2472</v>
      </c>
      <c r="Z275" s="262"/>
      <c r="AA275" s="25" t="s">
        <v>2473</v>
      </c>
      <c r="AB275" s="262"/>
      <c r="AC275" s="262"/>
      <c r="AD275" s="25" t="s">
        <v>2474</v>
      </c>
      <c r="AE275" s="262"/>
      <c r="AF275" s="262"/>
      <c r="AG275" s="262"/>
      <c r="AH275" s="262"/>
      <c r="AI275" s="262"/>
      <c r="AJ275" s="262"/>
      <c r="AK275" s="262">
        <v>9978</v>
      </c>
      <c r="AL275" s="218"/>
      <c r="AM275" s="301"/>
      <c r="AN275" s="218"/>
      <c r="AO275" s="218"/>
      <c r="AP275" s="218"/>
      <c r="AQ275" s="25" t="s">
        <v>2475</v>
      </c>
      <c r="AR275" s="157">
        <v>30.47</v>
      </c>
      <c r="AS275" s="282" t="s">
        <v>2476</v>
      </c>
      <c r="AT275" s="284">
        <v>100038568737899</v>
      </c>
      <c r="AU275" s="284"/>
      <c r="AV275" s="284"/>
      <c r="AW275" s="284"/>
      <c r="AX275" s="284"/>
      <c r="AY275" s="284"/>
      <c r="AZ275" s="284"/>
      <c r="BA275" s="395" t="s">
        <v>2477</v>
      </c>
      <c r="BB275" s="395"/>
      <c r="BC275" s="395"/>
      <c r="BD275" s="395"/>
      <c r="BE275" s="395"/>
      <c r="BF275" s="303">
        <v>5.2359999999999998</v>
      </c>
      <c r="BG275" s="303">
        <v>5.2359999999999998</v>
      </c>
      <c r="BH275" s="303">
        <v>10.590999999999999</v>
      </c>
      <c r="BI275" s="112">
        <f>(BH275*BG275*BF275)/1728</f>
        <v>0.16803219695370367</v>
      </c>
      <c r="BJ275" s="304">
        <f>1.1+0.25</f>
        <v>1.35</v>
      </c>
      <c r="BK275" s="304"/>
      <c r="BL275" s="304"/>
      <c r="BM275" s="251" t="s">
        <v>764</v>
      </c>
      <c r="BN275" s="251">
        <v>1</v>
      </c>
      <c r="BO275" s="251">
        <v>56</v>
      </c>
      <c r="BP275" s="251">
        <v>4</v>
      </c>
      <c r="BQ275" s="27">
        <f>BN275*BO275*BP275</f>
        <v>224</v>
      </c>
      <c r="BR275" s="27">
        <f>(BJ275*BQ275)+50</f>
        <v>352.40000000000003</v>
      </c>
      <c r="BS275" s="27" t="s">
        <v>2478</v>
      </c>
      <c r="BT275" s="27" t="s">
        <v>766</v>
      </c>
      <c r="BU275" s="14">
        <v>73</v>
      </c>
      <c r="BV275" s="1"/>
      <c r="BW275" s="1"/>
      <c r="BX275" s="1"/>
      <c r="BY275" s="1"/>
      <c r="BZ275" s="299"/>
      <c r="CA275" s="299"/>
      <c r="CB275" s="299"/>
      <c r="CC275" s="299"/>
      <c r="CD275" s="299"/>
      <c r="CE275" s="299"/>
    </row>
    <row r="276" spans="1:83" s="300" customFormat="1" ht="30" customHeight="1" x14ac:dyDescent="0.25">
      <c r="A276" s="278">
        <v>41609</v>
      </c>
      <c r="B276" s="278"/>
      <c r="C276" s="250" t="s">
        <v>2479</v>
      </c>
      <c r="D276" s="250" t="s">
        <v>60</v>
      </c>
      <c r="E276" s="250" t="s">
        <v>2480</v>
      </c>
      <c r="F276" s="270" t="s">
        <v>2481</v>
      </c>
      <c r="G276" s="270" t="s">
        <v>1501</v>
      </c>
      <c r="H276" s="271" t="s">
        <v>2482</v>
      </c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261"/>
      <c r="T276" s="261"/>
      <c r="U276" s="261"/>
      <c r="V276" s="261"/>
      <c r="W276" s="261"/>
      <c r="X276" s="261"/>
      <c r="Y276" s="261"/>
      <c r="Z276" s="261"/>
      <c r="AA276" s="261"/>
      <c r="AB276" s="261"/>
      <c r="AC276" s="261"/>
      <c r="AD276" s="261"/>
      <c r="AE276" s="261"/>
      <c r="AF276" s="261"/>
      <c r="AG276" s="261"/>
      <c r="AH276" s="261"/>
      <c r="AI276" s="261"/>
      <c r="AJ276" s="261"/>
      <c r="AK276" s="261"/>
      <c r="AL276" s="261"/>
      <c r="AM276" s="301"/>
      <c r="AN276" s="261"/>
      <c r="AO276" s="261"/>
      <c r="AP276" s="261"/>
      <c r="AQ276" s="261"/>
      <c r="AR276" s="157">
        <v>47.61</v>
      </c>
      <c r="AS276" s="282" t="s">
        <v>2483</v>
      </c>
      <c r="AT276" s="284">
        <v>10038568739398</v>
      </c>
      <c r="AU276" s="284"/>
      <c r="AV276" s="284"/>
      <c r="AW276" s="284"/>
      <c r="AX276" s="284"/>
      <c r="AY276" s="284"/>
      <c r="AZ276" s="284"/>
      <c r="BA276" s="395" t="s">
        <v>2477</v>
      </c>
      <c r="BB276" s="395"/>
      <c r="BC276" s="395"/>
      <c r="BD276" s="395"/>
      <c r="BE276" s="395"/>
      <c r="BF276" s="251">
        <v>11.75</v>
      </c>
      <c r="BG276" s="251">
        <v>4.75</v>
      </c>
      <c r="BH276" s="251">
        <v>5</v>
      </c>
      <c r="BI276" s="112">
        <f>(BH276*BG276*BF276)/1728</f>
        <v>0.16149450231481483</v>
      </c>
      <c r="BJ276" s="250">
        <f>0.5+1.5+0.58+0.25</f>
        <v>2.83</v>
      </c>
      <c r="BK276" s="250"/>
      <c r="BL276" s="250"/>
      <c r="BM276" s="251" t="s">
        <v>764</v>
      </c>
      <c r="BN276" s="251">
        <v>1</v>
      </c>
      <c r="BO276" s="251">
        <v>28</v>
      </c>
      <c r="BP276" s="251">
        <v>9</v>
      </c>
      <c r="BQ276" s="27">
        <f>BN276*BO276*BP276</f>
        <v>252</v>
      </c>
      <c r="BR276" s="27">
        <f>(BJ276*BQ276)+50</f>
        <v>763.16</v>
      </c>
      <c r="BS276" s="27" t="s">
        <v>886</v>
      </c>
      <c r="BT276" s="27" t="s">
        <v>766</v>
      </c>
      <c r="BU276" s="14"/>
      <c r="BV276" s="14"/>
      <c r="BW276" s="14"/>
      <c r="BX276" s="299"/>
      <c r="BY276" s="299"/>
      <c r="BZ276" s="299"/>
      <c r="CA276" s="299"/>
      <c r="CB276" s="299"/>
      <c r="CC276" s="299"/>
      <c r="CD276" s="299"/>
      <c r="CE276" s="299"/>
    </row>
    <row r="277" spans="1:83" s="300" customFormat="1" x14ac:dyDescent="0.25">
      <c r="A277" s="278">
        <v>41609</v>
      </c>
      <c r="B277" s="278"/>
      <c r="C277" s="270" t="s">
        <v>2484</v>
      </c>
      <c r="D277" s="270" t="s">
        <v>60</v>
      </c>
      <c r="E277" s="270" t="s">
        <v>2485</v>
      </c>
      <c r="F277" s="270" t="s">
        <v>2486</v>
      </c>
      <c r="G277" s="270" t="s">
        <v>1501</v>
      </c>
      <c r="H277" s="271" t="s">
        <v>2487</v>
      </c>
      <c r="I277" s="261" t="s">
        <v>1478</v>
      </c>
      <c r="J277" s="261" t="s">
        <v>2488</v>
      </c>
      <c r="K277" s="261" t="s">
        <v>1351</v>
      </c>
      <c r="L277" s="261">
        <v>85104856</v>
      </c>
      <c r="M277" s="261"/>
      <c r="N277" s="261"/>
      <c r="O277" s="261"/>
      <c r="P277" s="261"/>
      <c r="Q277" s="261"/>
      <c r="R277" s="261"/>
      <c r="S277" s="261"/>
      <c r="T277" s="261"/>
      <c r="U277" s="261" t="s">
        <v>2489</v>
      </c>
      <c r="V277" s="261"/>
      <c r="W277" s="261">
        <v>86938</v>
      </c>
      <c r="X277" s="261"/>
      <c r="Y277" s="261"/>
      <c r="Z277" s="261"/>
      <c r="AA277" s="261" t="s">
        <v>2490</v>
      </c>
      <c r="AB277" s="261" t="s">
        <v>2491</v>
      </c>
      <c r="AC277" s="261"/>
      <c r="AD277" s="261"/>
      <c r="AE277" s="261"/>
      <c r="AF277" s="261"/>
      <c r="AG277" s="261"/>
      <c r="AH277" s="261"/>
      <c r="AI277" s="261"/>
      <c r="AJ277" s="261"/>
      <c r="AK277" s="261">
        <v>3938</v>
      </c>
      <c r="AL277" s="261"/>
      <c r="AM277" s="301"/>
      <c r="AN277" s="261"/>
      <c r="AO277" s="261"/>
      <c r="AP277" s="261"/>
      <c r="AQ277" s="261">
        <v>33938</v>
      </c>
      <c r="AR277" s="157">
        <v>53.05</v>
      </c>
      <c r="AS277" s="282" t="s">
        <v>2492</v>
      </c>
      <c r="AT277" s="284" t="s">
        <v>2493</v>
      </c>
      <c r="AU277" s="284"/>
      <c r="AV277" s="284"/>
      <c r="AW277" s="284"/>
      <c r="AX277" s="284"/>
      <c r="AY277" s="284"/>
      <c r="AZ277" s="284"/>
      <c r="BA277" s="251">
        <v>5.165</v>
      </c>
      <c r="BB277" s="251">
        <v>5.165</v>
      </c>
      <c r="BC277" s="251">
        <v>6.2050000000000001</v>
      </c>
      <c r="BD277" s="112">
        <f>(BC277*BB277*BA277)/1728</f>
        <v>9.5794086299189812E-2</v>
      </c>
      <c r="BE277" s="113">
        <v>2.3199999999999998</v>
      </c>
      <c r="BF277" s="250">
        <v>15.868</v>
      </c>
      <c r="BG277" s="250">
        <v>11.993</v>
      </c>
      <c r="BH277" s="250">
        <v>8.2989999999999995</v>
      </c>
      <c r="BI277" s="112">
        <f>(BH277*BG277*BF277)/1728</f>
        <v>0.91397023395601851</v>
      </c>
      <c r="BJ277" s="304">
        <v>14.188000000000001</v>
      </c>
      <c r="BK277" s="304"/>
      <c r="BL277" s="304"/>
      <c r="BM277" s="251" t="s">
        <v>764</v>
      </c>
      <c r="BN277" s="250">
        <v>6</v>
      </c>
      <c r="BO277" s="250">
        <v>10</v>
      </c>
      <c r="BP277" s="261">
        <v>5</v>
      </c>
      <c r="BQ277" s="27">
        <f>BN277*BO277*BP277</f>
        <v>300</v>
      </c>
      <c r="BR277" s="27">
        <f>(BE277*BQ277)+50</f>
        <v>746</v>
      </c>
      <c r="BS277" s="27" t="s">
        <v>886</v>
      </c>
      <c r="BT277" s="27" t="s">
        <v>766</v>
      </c>
      <c r="BU277" s="14"/>
      <c r="BV277" s="14"/>
      <c r="BW277" s="14"/>
      <c r="BX277" s="299"/>
      <c r="BY277" s="299"/>
      <c r="BZ277" s="299"/>
      <c r="CA277" s="299"/>
      <c r="CB277" s="299"/>
      <c r="CC277" s="299"/>
      <c r="CD277" s="299"/>
      <c r="CE277" s="299"/>
    </row>
    <row r="278" spans="1:83" s="300" customFormat="1" x14ac:dyDescent="0.25">
      <c r="A278" s="278">
        <v>41609</v>
      </c>
      <c r="B278" s="278"/>
      <c r="C278" s="270" t="s">
        <v>2494</v>
      </c>
      <c r="D278" s="270" t="s">
        <v>735</v>
      </c>
      <c r="E278" s="253" t="s">
        <v>2495</v>
      </c>
      <c r="F278" s="270" t="s">
        <v>2496</v>
      </c>
      <c r="G278" s="253" t="s">
        <v>963</v>
      </c>
      <c r="H278" s="253" t="s">
        <v>2497</v>
      </c>
      <c r="I278" s="261" t="s">
        <v>2498</v>
      </c>
      <c r="J278" s="253" t="s">
        <v>2499</v>
      </c>
      <c r="K278" s="261"/>
      <c r="L278" s="261"/>
      <c r="M278" s="261"/>
      <c r="N278" s="261"/>
      <c r="O278" s="261"/>
      <c r="P278" s="261"/>
      <c r="Q278" s="261"/>
      <c r="R278" s="261"/>
      <c r="S278" s="261"/>
      <c r="T278" s="261"/>
      <c r="U278" s="261"/>
      <c r="V278" s="261"/>
      <c r="W278" s="261"/>
      <c r="X278" s="261"/>
      <c r="Y278" s="261"/>
      <c r="Z278" s="261"/>
      <c r="AA278" s="261"/>
      <c r="AB278" s="261"/>
      <c r="AC278" s="261"/>
      <c r="AD278" s="261"/>
      <c r="AE278" s="261"/>
      <c r="AF278" s="261"/>
      <c r="AG278" s="261"/>
      <c r="AH278" s="261"/>
      <c r="AI278" s="261"/>
      <c r="AJ278" s="261"/>
      <c r="AK278" s="261"/>
      <c r="AL278" s="253" t="s">
        <v>2500</v>
      </c>
      <c r="AM278" s="301"/>
      <c r="AN278" s="253" t="s">
        <v>2501</v>
      </c>
      <c r="AO278" s="253"/>
      <c r="AP278" s="253" t="s">
        <v>2502</v>
      </c>
      <c r="AQ278" s="261"/>
      <c r="AR278" s="157">
        <v>6.75</v>
      </c>
      <c r="AS278" s="306" t="s">
        <v>2503</v>
      </c>
      <c r="AT278" s="306" t="s">
        <v>2504</v>
      </c>
      <c r="AU278" s="306"/>
      <c r="AV278" s="306"/>
      <c r="AW278" s="306"/>
      <c r="AX278" s="306"/>
      <c r="AY278" s="306"/>
      <c r="AZ278" s="306"/>
      <c r="BA278" s="279">
        <v>2.411</v>
      </c>
      <c r="BB278" s="279">
        <v>2.411</v>
      </c>
      <c r="BC278" s="279">
        <v>6.5720000000000001</v>
      </c>
      <c r="BD278" s="112">
        <f>(BC278*BB278*BA278)/1728</f>
        <v>2.2107937969907412E-2</v>
      </c>
      <c r="BE278" s="279">
        <v>1.1000000000000001</v>
      </c>
      <c r="BF278" s="279">
        <v>10.25</v>
      </c>
      <c r="BG278" s="279">
        <v>7.75</v>
      </c>
      <c r="BH278" s="279">
        <v>7.12</v>
      </c>
      <c r="BI278" s="112">
        <f>(BH278*BG278*BF278)/1728</f>
        <v>0.32731192129629633</v>
      </c>
      <c r="BJ278" s="279">
        <v>14.7</v>
      </c>
      <c r="BK278" s="279"/>
      <c r="BL278" s="279"/>
      <c r="BM278" s="279" t="s">
        <v>764</v>
      </c>
      <c r="BN278" s="307">
        <v>12</v>
      </c>
      <c r="BO278" s="307">
        <v>22</v>
      </c>
      <c r="BP278" s="307">
        <v>6</v>
      </c>
      <c r="BQ278" s="307">
        <f>BN278*BO278*BP278</f>
        <v>1584</v>
      </c>
      <c r="BR278" s="263">
        <f>(BE278*BQ278)+50</f>
        <v>1792.4</v>
      </c>
      <c r="BS278" s="307" t="s">
        <v>886</v>
      </c>
      <c r="BT278" s="307" t="s">
        <v>766</v>
      </c>
      <c r="BU278" s="14"/>
      <c r="BV278" s="14"/>
      <c r="BW278" s="14"/>
      <c r="BX278" s="299"/>
      <c r="BY278" s="299"/>
      <c r="BZ278" s="299"/>
      <c r="CA278" s="299"/>
      <c r="CB278" s="299"/>
      <c r="CC278" s="299"/>
      <c r="CD278" s="299"/>
      <c r="CE278" s="299"/>
    </row>
    <row r="279" spans="1:83" s="300" customFormat="1" ht="210" x14ac:dyDescent="0.25">
      <c r="A279" s="278">
        <v>41562</v>
      </c>
      <c r="B279" s="278"/>
      <c r="C279" s="250" t="s">
        <v>2505</v>
      </c>
      <c r="D279" s="270" t="s">
        <v>60</v>
      </c>
      <c r="E279" s="250" t="s">
        <v>696</v>
      </c>
      <c r="F279" s="308" t="s">
        <v>2506</v>
      </c>
      <c r="G279" s="270" t="s">
        <v>786</v>
      </c>
      <c r="H279" s="261">
        <v>87517153</v>
      </c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261"/>
      <c r="T279" s="261"/>
      <c r="U279" s="261"/>
      <c r="V279" s="261"/>
      <c r="W279" s="261"/>
      <c r="X279" s="261"/>
      <c r="Y279" s="261" t="s">
        <v>2507</v>
      </c>
      <c r="Z279" s="261"/>
      <c r="AA279" s="261"/>
      <c r="AB279" s="261"/>
      <c r="AC279" s="261"/>
      <c r="AD279" s="261"/>
      <c r="AE279" s="261"/>
      <c r="AF279" s="261"/>
      <c r="AG279" s="261"/>
      <c r="AH279" s="261"/>
      <c r="AI279" s="261"/>
      <c r="AJ279" s="261"/>
      <c r="AK279" s="261"/>
      <c r="AL279" s="261"/>
      <c r="AM279" s="261"/>
      <c r="AN279" s="261"/>
      <c r="AO279" s="261"/>
      <c r="AP279" s="261"/>
      <c r="AQ279" s="261"/>
      <c r="AR279" s="157">
        <v>94.9</v>
      </c>
      <c r="AS279" s="309">
        <v>10038568737837</v>
      </c>
      <c r="AT279" s="289" t="s">
        <v>2508</v>
      </c>
      <c r="AU279" s="289"/>
      <c r="AV279" s="289"/>
      <c r="AW279" s="289"/>
      <c r="AX279" s="289"/>
      <c r="AY279" s="289"/>
      <c r="AZ279" s="289"/>
      <c r="BA279" s="262"/>
      <c r="BB279" s="262"/>
      <c r="BC279" s="262"/>
      <c r="BD279" s="262"/>
      <c r="BE279" s="262"/>
      <c r="BF279" s="262">
        <v>10.75</v>
      </c>
      <c r="BG279" s="262">
        <v>7.12</v>
      </c>
      <c r="BH279" s="262">
        <v>6.25</v>
      </c>
      <c r="BI279" s="262"/>
      <c r="BJ279" s="262">
        <v>1</v>
      </c>
      <c r="BK279" s="262"/>
      <c r="BL279" s="262"/>
      <c r="BM279" s="262" t="s">
        <v>764</v>
      </c>
      <c r="BN279" s="262"/>
      <c r="BO279" s="262">
        <v>35</v>
      </c>
      <c r="BP279" s="262">
        <v>4</v>
      </c>
      <c r="BQ279" s="262"/>
      <c r="BR279" s="262"/>
      <c r="BS279" s="262" t="s">
        <v>886</v>
      </c>
      <c r="BT279" s="289"/>
      <c r="BU279" s="1"/>
      <c r="BV279" s="14"/>
      <c r="BW279" s="14"/>
      <c r="BX279" s="1"/>
      <c r="BY279" s="1"/>
      <c r="BZ279" s="1"/>
      <c r="CA279" s="1"/>
      <c r="CB279" s="1"/>
      <c r="CC279" s="1"/>
      <c r="CD279" s="1"/>
      <c r="CE279" s="1"/>
    </row>
    <row r="280" spans="1:83" s="125" customFormat="1" x14ac:dyDescent="0.25">
      <c r="A280" s="278">
        <v>41518</v>
      </c>
      <c r="B280" s="278"/>
      <c r="C280" s="262">
        <v>1151</v>
      </c>
      <c r="D280" s="270" t="s">
        <v>60</v>
      </c>
      <c r="E280" s="262" t="s">
        <v>2509</v>
      </c>
      <c r="F280" s="310" t="s">
        <v>2510</v>
      </c>
      <c r="G280" s="261"/>
      <c r="H280" s="261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61"/>
      <c r="U280" s="261">
        <v>75</v>
      </c>
      <c r="V280" s="261"/>
      <c r="W280" s="261"/>
      <c r="X280" s="261"/>
      <c r="Y280" s="261"/>
      <c r="Z280" s="261"/>
      <c r="AA280" s="261"/>
      <c r="AB280" s="261"/>
      <c r="AC280" s="261"/>
      <c r="AD280" s="261"/>
      <c r="AE280" s="261"/>
      <c r="AF280" s="261"/>
      <c r="AG280" s="261"/>
      <c r="AH280" s="261"/>
      <c r="AI280" s="261"/>
      <c r="AJ280" s="261"/>
      <c r="AK280" s="261"/>
      <c r="AL280" s="261"/>
      <c r="AM280" s="261"/>
      <c r="AN280" s="261"/>
      <c r="AO280" s="261"/>
      <c r="AP280" s="261"/>
      <c r="AQ280" s="261"/>
      <c r="AR280" s="209">
        <v>316.14</v>
      </c>
      <c r="AS280" s="262"/>
      <c r="AT280" s="262"/>
      <c r="AU280" s="262"/>
      <c r="AV280" s="262"/>
      <c r="AW280" s="262"/>
      <c r="AX280" s="262"/>
      <c r="AY280" s="262"/>
      <c r="AZ280" s="262"/>
      <c r="BA280" s="262"/>
      <c r="BB280" s="262"/>
      <c r="BC280" s="262"/>
      <c r="BD280" s="262"/>
      <c r="BE280" s="262"/>
      <c r="BF280" s="262"/>
      <c r="BG280" s="262"/>
      <c r="BH280" s="262"/>
      <c r="BI280" s="262"/>
      <c r="BJ280" s="262"/>
      <c r="BK280" s="262"/>
      <c r="BL280" s="262"/>
      <c r="BM280" s="262" t="s">
        <v>764</v>
      </c>
      <c r="BN280" s="262"/>
      <c r="BO280" s="262"/>
      <c r="BP280" s="262"/>
      <c r="BQ280" s="262"/>
      <c r="BR280" s="262"/>
      <c r="BS280" s="262"/>
      <c r="BT280" s="289" t="s">
        <v>780</v>
      </c>
      <c r="BU280" s="1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</row>
    <row r="281" spans="1:83" s="125" customFormat="1" x14ac:dyDescent="0.25">
      <c r="A281" s="278">
        <v>41518</v>
      </c>
      <c r="B281" s="278"/>
      <c r="C281" s="214" t="s">
        <v>2511</v>
      </c>
      <c r="D281" s="270" t="s">
        <v>60</v>
      </c>
      <c r="E281" s="214" t="s">
        <v>2512</v>
      </c>
      <c r="F281" s="308" t="s">
        <v>2513</v>
      </c>
      <c r="G281" s="214" t="s">
        <v>980</v>
      </c>
      <c r="H281" s="214" t="s">
        <v>2514</v>
      </c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261"/>
      <c r="T281" s="261"/>
      <c r="U281" s="261"/>
      <c r="V281" s="261"/>
      <c r="W281" s="261"/>
      <c r="X281" s="261"/>
      <c r="Y281" s="261"/>
      <c r="Z281" s="261"/>
      <c r="AA281" s="261"/>
      <c r="AB281" s="261"/>
      <c r="AC281" s="261"/>
      <c r="AD281" s="261"/>
      <c r="AE281" s="261"/>
      <c r="AF281" s="261"/>
      <c r="AG281" s="261"/>
      <c r="AH281" s="261"/>
      <c r="AI281" s="261"/>
      <c r="AJ281" s="261"/>
      <c r="AK281" s="261"/>
      <c r="AL281" s="261"/>
      <c r="AM281" s="261"/>
      <c r="AN281" s="261"/>
      <c r="AO281" s="261"/>
      <c r="AP281" s="261"/>
      <c r="AQ281" s="261"/>
      <c r="AR281" s="157">
        <v>39.85</v>
      </c>
      <c r="AS281" s="262" t="s">
        <v>2515</v>
      </c>
      <c r="AT281" s="262"/>
      <c r="AU281" s="262"/>
      <c r="AV281" s="262"/>
      <c r="AW281" s="262"/>
      <c r="AX281" s="262"/>
      <c r="AY281" s="262"/>
      <c r="AZ281" s="262"/>
      <c r="BA281" s="31">
        <v>7.75</v>
      </c>
      <c r="BB281" s="31">
        <v>2.5</v>
      </c>
      <c r="BC281" s="31">
        <v>12.75</v>
      </c>
      <c r="BD281" s="262">
        <f t="shared" ref="BD281:BD295" si="72">(BC281*BB281*BA281)/1728</f>
        <v>0.14295789930555555</v>
      </c>
      <c r="BE281" s="31">
        <v>8.48</v>
      </c>
      <c r="BF281" s="31">
        <v>3</v>
      </c>
      <c r="BG281" s="31">
        <v>13.49</v>
      </c>
      <c r="BH281" s="31">
        <v>3</v>
      </c>
      <c r="BI281" s="262">
        <f t="shared" ref="BI281:BI295" si="73">(BH281*BG281*BE281)/1728</f>
        <v>0.19860277777777779</v>
      </c>
      <c r="BJ281" s="31">
        <v>8.24</v>
      </c>
      <c r="BK281" s="31"/>
      <c r="BL281" s="31"/>
      <c r="BM281" s="262" t="s">
        <v>764</v>
      </c>
      <c r="BN281" s="262">
        <v>3</v>
      </c>
      <c r="BO281" s="262">
        <v>14</v>
      </c>
      <c r="BP281" s="262">
        <v>5</v>
      </c>
      <c r="BQ281" s="262">
        <f t="shared" ref="BQ281:BQ295" si="74">(BO281*3)*BP281</f>
        <v>210</v>
      </c>
      <c r="BR281" s="262">
        <f t="shared" ref="BR281:BR295" si="75">(BQ281*BJ281)+50</f>
        <v>1780.4</v>
      </c>
      <c r="BS281" s="262" t="s">
        <v>886</v>
      </c>
      <c r="BT281" s="289" t="s">
        <v>766</v>
      </c>
      <c r="BU281" s="1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</row>
    <row r="282" spans="1:83" s="125" customFormat="1" ht="30" x14ac:dyDescent="0.25">
      <c r="A282" s="278">
        <v>41518</v>
      </c>
      <c r="B282" s="278"/>
      <c r="C282" s="214" t="s">
        <v>2516</v>
      </c>
      <c r="D282" s="270" t="s">
        <v>60</v>
      </c>
      <c r="E282" s="214" t="s">
        <v>2512</v>
      </c>
      <c r="F282" s="308" t="s">
        <v>2517</v>
      </c>
      <c r="G282" s="214" t="s">
        <v>2518</v>
      </c>
      <c r="H282" s="214" t="s">
        <v>2519</v>
      </c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261"/>
      <c r="T282" s="261"/>
      <c r="U282" s="261"/>
      <c r="V282" s="261"/>
      <c r="W282" s="261"/>
      <c r="X282" s="261"/>
      <c r="Y282" s="261"/>
      <c r="Z282" s="261"/>
      <c r="AA282" s="261"/>
      <c r="AB282" s="261"/>
      <c r="AC282" s="261"/>
      <c r="AD282" s="261"/>
      <c r="AE282" s="261"/>
      <c r="AF282" s="261"/>
      <c r="AG282" s="261"/>
      <c r="AH282" s="261"/>
      <c r="AI282" s="261"/>
      <c r="AJ282" s="261"/>
      <c r="AK282" s="261"/>
      <c r="AL282" s="261"/>
      <c r="AM282" s="261"/>
      <c r="AN282" s="261"/>
      <c r="AO282" s="261"/>
      <c r="AP282" s="261"/>
      <c r="AQ282" s="261"/>
      <c r="AR282" s="157">
        <v>49.95</v>
      </c>
      <c r="AS282" s="262" t="s">
        <v>2520</v>
      </c>
      <c r="AT282" s="262"/>
      <c r="AU282" s="262"/>
      <c r="AV282" s="262"/>
      <c r="AW282" s="262"/>
      <c r="AX282" s="262"/>
      <c r="AY282" s="262"/>
      <c r="AZ282" s="262"/>
      <c r="BA282" s="31">
        <v>10.75</v>
      </c>
      <c r="BB282" s="31">
        <v>1.75</v>
      </c>
      <c r="BC282" s="31">
        <v>17.62</v>
      </c>
      <c r="BD282" s="262">
        <f t="shared" si="72"/>
        <v>0.1918265335648148</v>
      </c>
      <c r="BE282" s="31">
        <v>6.6</v>
      </c>
      <c r="BF282" s="31">
        <v>3</v>
      </c>
      <c r="BG282" s="31">
        <v>18.11</v>
      </c>
      <c r="BH282" s="31">
        <v>3</v>
      </c>
      <c r="BI282" s="262">
        <f t="shared" si="73"/>
        <v>0.20751041666666664</v>
      </c>
      <c r="BJ282" s="31">
        <v>12.24</v>
      </c>
      <c r="BK282" s="31"/>
      <c r="BL282" s="31"/>
      <c r="BM282" s="262" t="s">
        <v>764</v>
      </c>
      <c r="BN282" s="262">
        <v>3</v>
      </c>
      <c r="BO282" s="262">
        <v>7</v>
      </c>
      <c r="BP282" s="262">
        <v>6</v>
      </c>
      <c r="BQ282" s="262">
        <f t="shared" si="74"/>
        <v>126</v>
      </c>
      <c r="BR282" s="262">
        <f t="shared" si="75"/>
        <v>1592.24</v>
      </c>
      <c r="BS282" s="262" t="s">
        <v>886</v>
      </c>
      <c r="BT282" s="289" t="s">
        <v>766</v>
      </c>
      <c r="BU282" s="1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</row>
    <row r="283" spans="1:83" s="125" customFormat="1" x14ac:dyDescent="0.25">
      <c r="A283" s="278">
        <v>41518</v>
      </c>
      <c r="B283" s="278"/>
      <c r="C283" s="214" t="s">
        <v>2521</v>
      </c>
      <c r="D283" s="270" t="s">
        <v>60</v>
      </c>
      <c r="E283" s="214" t="s">
        <v>2512</v>
      </c>
      <c r="F283" s="308" t="s">
        <v>2522</v>
      </c>
      <c r="G283" s="214" t="s">
        <v>2523</v>
      </c>
      <c r="H283" s="214">
        <v>20435801</v>
      </c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61"/>
      <c r="U283" s="261"/>
      <c r="V283" s="261"/>
      <c r="W283" s="261"/>
      <c r="X283" s="261"/>
      <c r="Y283" s="261"/>
      <c r="Z283" s="261"/>
      <c r="AA283" s="261"/>
      <c r="AB283" s="261"/>
      <c r="AC283" s="261"/>
      <c r="AD283" s="261"/>
      <c r="AE283" s="261"/>
      <c r="AF283" s="261"/>
      <c r="AG283" s="261"/>
      <c r="AH283" s="261"/>
      <c r="AI283" s="261"/>
      <c r="AJ283" s="261"/>
      <c r="AK283" s="261"/>
      <c r="AL283" s="261"/>
      <c r="AM283" s="261"/>
      <c r="AN283" s="261"/>
      <c r="AO283" s="261"/>
      <c r="AP283" s="261"/>
      <c r="AQ283" s="261"/>
      <c r="AR283" s="157">
        <v>24.95</v>
      </c>
      <c r="AS283" s="262" t="s">
        <v>2524</v>
      </c>
      <c r="AT283" s="262"/>
      <c r="AU283" s="262"/>
      <c r="AV283" s="262"/>
      <c r="AW283" s="262"/>
      <c r="AX283" s="262"/>
      <c r="AY283" s="262"/>
      <c r="AZ283" s="262"/>
      <c r="BA283" s="31">
        <v>10.75</v>
      </c>
      <c r="BB283" s="31">
        <v>1.75</v>
      </c>
      <c r="BC283" s="31">
        <v>17.62</v>
      </c>
      <c r="BD283" s="262">
        <f t="shared" si="72"/>
        <v>0.1918265335648148</v>
      </c>
      <c r="BE283" s="31">
        <v>6.6</v>
      </c>
      <c r="BF283" s="31">
        <v>3</v>
      </c>
      <c r="BG283" s="31">
        <v>18.11</v>
      </c>
      <c r="BH283" s="31">
        <v>3</v>
      </c>
      <c r="BI283" s="262">
        <f t="shared" si="73"/>
        <v>0.20751041666666664</v>
      </c>
      <c r="BJ283" s="31">
        <v>12.24</v>
      </c>
      <c r="BK283" s="31"/>
      <c r="BL283" s="31"/>
      <c r="BM283" s="262" t="s">
        <v>764</v>
      </c>
      <c r="BN283" s="262">
        <v>3</v>
      </c>
      <c r="BO283" s="262">
        <v>7</v>
      </c>
      <c r="BP283" s="262">
        <v>6</v>
      </c>
      <c r="BQ283" s="262">
        <f t="shared" si="74"/>
        <v>126</v>
      </c>
      <c r="BR283" s="262">
        <f t="shared" si="75"/>
        <v>1592.24</v>
      </c>
      <c r="BS283" s="262" t="s">
        <v>886</v>
      </c>
      <c r="BT283" s="289" t="s">
        <v>766</v>
      </c>
      <c r="BU283" s="1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</row>
    <row r="284" spans="1:83" s="125" customFormat="1" x14ac:dyDescent="0.25">
      <c r="A284" s="278">
        <v>41518</v>
      </c>
      <c r="B284" s="278"/>
      <c r="C284" s="214" t="s">
        <v>2525</v>
      </c>
      <c r="D284" s="270" t="s">
        <v>60</v>
      </c>
      <c r="E284" s="214" t="s">
        <v>2512</v>
      </c>
      <c r="F284" s="308" t="s">
        <v>2526</v>
      </c>
      <c r="G284" s="214" t="s">
        <v>2523</v>
      </c>
      <c r="H284" s="214">
        <v>3948712</v>
      </c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T284" s="261"/>
      <c r="U284" s="261"/>
      <c r="V284" s="261"/>
      <c r="W284" s="261"/>
      <c r="X284" s="261"/>
      <c r="Y284" s="261"/>
      <c r="Z284" s="261"/>
      <c r="AA284" s="261"/>
      <c r="AB284" s="261"/>
      <c r="AC284" s="261"/>
      <c r="AD284" s="261"/>
      <c r="AE284" s="261"/>
      <c r="AF284" s="261"/>
      <c r="AG284" s="261"/>
      <c r="AH284" s="261"/>
      <c r="AI284" s="261"/>
      <c r="AJ284" s="261"/>
      <c r="AK284" s="261"/>
      <c r="AL284" s="261"/>
      <c r="AM284" s="261"/>
      <c r="AN284" s="261"/>
      <c r="AO284" s="261"/>
      <c r="AP284" s="261"/>
      <c r="AQ284" s="261"/>
      <c r="AR284" s="157">
        <v>25.35</v>
      </c>
      <c r="AS284" s="262" t="s">
        <v>2527</v>
      </c>
      <c r="AT284" s="261"/>
      <c r="AU284" s="261"/>
      <c r="AV284" s="261"/>
      <c r="AW284" s="261"/>
      <c r="AX284" s="261"/>
      <c r="AY284" s="261"/>
      <c r="AZ284" s="261"/>
      <c r="BA284" s="31">
        <v>10.75</v>
      </c>
      <c r="BB284" s="31">
        <v>1.75</v>
      </c>
      <c r="BC284" s="31">
        <v>17.62</v>
      </c>
      <c r="BD284" s="262">
        <f t="shared" si="72"/>
        <v>0.1918265335648148</v>
      </c>
      <c r="BE284" s="31">
        <v>6.6</v>
      </c>
      <c r="BF284" s="31">
        <v>3</v>
      </c>
      <c r="BG284" s="31">
        <v>18.11</v>
      </c>
      <c r="BH284" s="31">
        <v>3</v>
      </c>
      <c r="BI284" s="262">
        <f t="shared" si="73"/>
        <v>0.20751041666666664</v>
      </c>
      <c r="BJ284" s="31">
        <v>12.24</v>
      </c>
      <c r="BK284" s="31"/>
      <c r="BL284" s="31"/>
      <c r="BM284" s="262" t="s">
        <v>764</v>
      </c>
      <c r="BN284" s="262">
        <v>3</v>
      </c>
      <c r="BO284" s="261">
        <v>7</v>
      </c>
      <c r="BP284" s="261">
        <v>6</v>
      </c>
      <c r="BQ284" s="262">
        <f t="shared" si="74"/>
        <v>126</v>
      </c>
      <c r="BR284" s="262">
        <f t="shared" si="75"/>
        <v>1592.24</v>
      </c>
      <c r="BS284" s="262" t="s">
        <v>886</v>
      </c>
      <c r="BT284" s="289" t="s">
        <v>766</v>
      </c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</row>
    <row r="285" spans="1:83" s="125" customFormat="1" x14ac:dyDescent="0.25">
      <c r="A285" s="278">
        <v>41518</v>
      </c>
      <c r="B285" s="278"/>
      <c r="C285" s="214" t="s">
        <v>2528</v>
      </c>
      <c r="D285" s="270" t="s">
        <v>60</v>
      </c>
      <c r="E285" s="214" t="s">
        <v>2512</v>
      </c>
      <c r="F285" s="308" t="s">
        <v>2526</v>
      </c>
      <c r="G285" s="214" t="s">
        <v>2523</v>
      </c>
      <c r="H285" s="214">
        <v>8089705</v>
      </c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61"/>
      <c r="U285" s="261"/>
      <c r="V285" s="261"/>
      <c r="W285" s="261"/>
      <c r="X285" s="261"/>
      <c r="Y285" s="261"/>
      <c r="Z285" s="261"/>
      <c r="AA285" s="261"/>
      <c r="AB285" s="261"/>
      <c r="AC285" s="261"/>
      <c r="AD285" s="261"/>
      <c r="AE285" s="261"/>
      <c r="AF285" s="261"/>
      <c r="AG285" s="261"/>
      <c r="AH285" s="261"/>
      <c r="AI285" s="261"/>
      <c r="AJ285" s="261"/>
      <c r="AK285" s="261"/>
      <c r="AL285" s="261"/>
      <c r="AM285" s="261"/>
      <c r="AN285" s="261"/>
      <c r="AO285" s="261"/>
      <c r="AP285" s="261"/>
      <c r="AQ285" s="261"/>
      <c r="AR285" s="157">
        <v>28.85</v>
      </c>
      <c r="AS285" s="262" t="s">
        <v>2529</v>
      </c>
      <c r="AT285" s="261"/>
      <c r="AU285" s="261"/>
      <c r="AV285" s="261"/>
      <c r="AW285" s="261"/>
      <c r="AX285" s="261"/>
      <c r="AY285" s="261"/>
      <c r="AZ285" s="261"/>
      <c r="BA285" s="31">
        <v>7.75</v>
      </c>
      <c r="BB285" s="31">
        <v>2.5</v>
      </c>
      <c r="BC285" s="31">
        <v>12.75</v>
      </c>
      <c r="BD285" s="262">
        <f t="shared" si="72"/>
        <v>0.14295789930555555</v>
      </c>
      <c r="BE285" s="31">
        <v>8.48</v>
      </c>
      <c r="BF285" s="31">
        <v>3</v>
      </c>
      <c r="BG285" s="31">
        <v>13.49</v>
      </c>
      <c r="BH285" s="31">
        <v>3</v>
      </c>
      <c r="BI285" s="262">
        <f t="shared" si="73"/>
        <v>0.19860277777777779</v>
      </c>
      <c r="BJ285" s="31">
        <v>8.24</v>
      </c>
      <c r="BK285" s="31"/>
      <c r="BL285" s="31"/>
      <c r="BM285" s="262" t="s">
        <v>764</v>
      </c>
      <c r="BN285" s="262">
        <v>3</v>
      </c>
      <c r="BO285" s="261">
        <v>14</v>
      </c>
      <c r="BP285" s="261">
        <v>5</v>
      </c>
      <c r="BQ285" s="262">
        <f t="shared" si="74"/>
        <v>210</v>
      </c>
      <c r="BR285" s="262">
        <f t="shared" si="75"/>
        <v>1780.4</v>
      </c>
      <c r="BS285" s="262" t="s">
        <v>886</v>
      </c>
      <c r="BT285" s="289" t="s">
        <v>766</v>
      </c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</row>
    <row r="286" spans="1:83" s="125" customFormat="1" ht="30" x14ac:dyDescent="0.25">
      <c r="A286" s="278">
        <v>41518</v>
      </c>
      <c r="B286" s="278"/>
      <c r="C286" s="214" t="s">
        <v>2530</v>
      </c>
      <c r="D286" s="270" t="s">
        <v>60</v>
      </c>
      <c r="E286" s="214" t="s">
        <v>2512</v>
      </c>
      <c r="F286" s="308" t="s">
        <v>2531</v>
      </c>
      <c r="G286" s="308" t="s">
        <v>2532</v>
      </c>
      <c r="H286" s="308">
        <v>91559</v>
      </c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61"/>
      <c r="U286" s="261"/>
      <c r="V286" s="261"/>
      <c r="W286" s="261"/>
      <c r="X286" s="261"/>
      <c r="Y286" s="261"/>
      <c r="Z286" s="261"/>
      <c r="AA286" s="261"/>
      <c r="AB286" s="261"/>
      <c r="AC286" s="261"/>
      <c r="AD286" s="261"/>
      <c r="AE286" s="261"/>
      <c r="AF286" s="261"/>
      <c r="AG286" s="261"/>
      <c r="AH286" s="261"/>
      <c r="AI286" s="261"/>
      <c r="AJ286" s="261"/>
      <c r="AK286" s="261"/>
      <c r="AL286" s="261"/>
      <c r="AM286" s="261"/>
      <c r="AN286" s="261"/>
      <c r="AO286" s="261"/>
      <c r="AP286" s="261"/>
      <c r="AQ286" s="261"/>
      <c r="AR286" s="157">
        <v>27.75</v>
      </c>
      <c r="AS286" s="262" t="s">
        <v>2533</v>
      </c>
      <c r="AT286" s="262"/>
      <c r="AU286" s="262"/>
      <c r="AV286" s="262"/>
      <c r="AW286" s="262"/>
      <c r="AX286" s="262"/>
      <c r="AY286" s="262"/>
      <c r="AZ286" s="262"/>
      <c r="BA286" s="31">
        <v>11.25</v>
      </c>
      <c r="BB286" s="31">
        <v>2.68</v>
      </c>
      <c r="BC286" s="31">
        <v>11.25</v>
      </c>
      <c r="BD286" s="262">
        <f t="shared" si="72"/>
        <v>0.1962890625</v>
      </c>
      <c r="BE286" s="31">
        <v>9</v>
      </c>
      <c r="BF286" s="31">
        <v>3</v>
      </c>
      <c r="BG286" s="31">
        <v>11.75</v>
      </c>
      <c r="BH286" s="31">
        <v>3</v>
      </c>
      <c r="BI286" s="262">
        <f t="shared" si="73"/>
        <v>0.18359375</v>
      </c>
      <c r="BJ286" s="31">
        <v>11.75</v>
      </c>
      <c r="BK286" s="31"/>
      <c r="BL286" s="31"/>
      <c r="BM286" s="262" t="s">
        <v>764</v>
      </c>
      <c r="BN286" s="262">
        <v>3</v>
      </c>
      <c r="BO286" s="262">
        <v>12</v>
      </c>
      <c r="BP286" s="262">
        <v>5</v>
      </c>
      <c r="BQ286" s="262">
        <f t="shared" si="74"/>
        <v>180</v>
      </c>
      <c r="BR286" s="262">
        <f t="shared" si="75"/>
        <v>2165</v>
      </c>
      <c r="BS286" s="262" t="s">
        <v>886</v>
      </c>
      <c r="BT286" s="289" t="s">
        <v>766</v>
      </c>
      <c r="BU286" s="1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</row>
    <row r="287" spans="1:83" s="125" customFormat="1" x14ac:dyDescent="0.25">
      <c r="A287" s="278">
        <v>41518</v>
      </c>
      <c r="B287" s="278"/>
      <c r="C287" s="214" t="s">
        <v>2534</v>
      </c>
      <c r="D287" s="270" t="s">
        <v>60</v>
      </c>
      <c r="E287" s="214" t="s">
        <v>2512</v>
      </c>
      <c r="F287" s="308" t="s">
        <v>2535</v>
      </c>
      <c r="G287" s="308" t="s">
        <v>2532</v>
      </c>
      <c r="H287" s="308" t="s">
        <v>2536</v>
      </c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61"/>
      <c r="U287" s="261"/>
      <c r="V287" s="261"/>
      <c r="W287" s="261"/>
      <c r="X287" s="261"/>
      <c r="Y287" s="261"/>
      <c r="Z287" s="261"/>
      <c r="AA287" s="261"/>
      <c r="AB287" s="261"/>
      <c r="AC287" s="261"/>
      <c r="AD287" s="261"/>
      <c r="AE287" s="261"/>
      <c r="AF287" s="261"/>
      <c r="AG287" s="261"/>
      <c r="AH287" s="261"/>
      <c r="AI287" s="261"/>
      <c r="AJ287" s="261"/>
      <c r="AK287" s="261"/>
      <c r="AL287" s="261"/>
      <c r="AM287" s="261"/>
      <c r="AN287" s="261"/>
      <c r="AO287" s="261"/>
      <c r="AP287" s="261"/>
      <c r="AQ287" s="261"/>
      <c r="AR287" s="157">
        <v>46.85</v>
      </c>
      <c r="AS287" s="262" t="s">
        <v>2537</v>
      </c>
      <c r="AT287" s="262"/>
      <c r="AU287" s="262"/>
      <c r="AV287" s="262"/>
      <c r="AW287" s="262"/>
      <c r="AX287" s="262"/>
      <c r="AY287" s="262"/>
      <c r="AZ287" s="262"/>
      <c r="BA287" s="31">
        <v>11.25</v>
      </c>
      <c r="BB287" s="31">
        <v>2.68</v>
      </c>
      <c r="BC287" s="31">
        <v>11.25</v>
      </c>
      <c r="BD287" s="262">
        <f t="shared" si="72"/>
        <v>0.1962890625</v>
      </c>
      <c r="BE287" s="31">
        <v>9</v>
      </c>
      <c r="BF287" s="31">
        <v>3</v>
      </c>
      <c r="BG287" s="31">
        <v>11.75</v>
      </c>
      <c r="BH287" s="31">
        <v>3</v>
      </c>
      <c r="BI287" s="262">
        <f t="shared" si="73"/>
        <v>0.18359375</v>
      </c>
      <c r="BJ287" s="31">
        <v>11.75</v>
      </c>
      <c r="BK287" s="31"/>
      <c r="BL287" s="31"/>
      <c r="BM287" s="262" t="s">
        <v>764</v>
      </c>
      <c r="BN287" s="262">
        <v>3</v>
      </c>
      <c r="BO287" s="262">
        <v>12</v>
      </c>
      <c r="BP287" s="262">
        <v>5</v>
      </c>
      <c r="BQ287" s="262">
        <f t="shared" si="74"/>
        <v>180</v>
      </c>
      <c r="BR287" s="262">
        <f t="shared" si="75"/>
        <v>2165</v>
      </c>
      <c r="BS287" s="262" t="s">
        <v>886</v>
      </c>
      <c r="BT287" s="289" t="s">
        <v>766</v>
      </c>
      <c r="BU287" s="1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</row>
    <row r="288" spans="1:83" s="125" customFormat="1" x14ac:dyDescent="0.25">
      <c r="A288" s="278">
        <v>41518</v>
      </c>
      <c r="B288" s="278"/>
      <c r="C288" s="214" t="s">
        <v>2538</v>
      </c>
      <c r="D288" s="270" t="s">
        <v>60</v>
      </c>
      <c r="E288" s="214" t="s">
        <v>2512</v>
      </c>
      <c r="F288" s="308" t="s">
        <v>2539</v>
      </c>
      <c r="G288" s="214" t="s">
        <v>1148</v>
      </c>
      <c r="H288" s="214" t="s">
        <v>2540</v>
      </c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61"/>
      <c r="U288" s="261"/>
      <c r="V288" s="261"/>
      <c r="W288" s="261"/>
      <c r="X288" s="261"/>
      <c r="Y288" s="261"/>
      <c r="Z288" s="261"/>
      <c r="AA288" s="261"/>
      <c r="AB288" s="261"/>
      <c r="AC288" s="261"/>
      <c r="AD288" s="261"/>
      <c r="AE288" s="261"/>
      <c r="AF288" s="261"/>
      <c r="AG288" s="261"/>
      <c r="AH288" s="261"/>
      <c r="AI288" s="261"/>
      <c r="AJ288" s="261"/>
      <c r="AK288" s="261"/>
      <c r="AL288" s="261"/>
      <c r="AM288" s="261"/>
      <c r="AN288" s="261"/>
      <c r="AO288" s="261"/>
      <c r="AP288" s="261"/>
      <c r="AQ288" s="261"/>
      <c r="AR288" s="157">
        <v>34.950000000000003</v>
      </c>
      <c r="AS288" s="262" t="s">
        <v>2541</v>
      </c>
      <c r="AT288" s="262"/>
      <c r="AU288" s="262"/>
      <c r="AV288" s="262"/>
      <c r="AW288" s="262"/>
      <c r="AX288" s="262"/>
      <c r="AY288" s="262"/>
      <c r="AZ288" s="262"/>
      <c r="BA288" s="31">
        <v>7.5</v>
      </c>
      <c r="BB288" s="31">
        <v>1.31</v>
      </c>
      <c r="BC288" s="31">
        <v>13</v>
      </c>
      <c r="BD288" s="262">
        <f t="shared" si="72"/>
        <v>7.3914930555555564E-2</v>
      </c>
      <c r="BE288" s="31">
        <v>4.6399999999999997</v>
      </c>
      <c r="BF288" s="31">
        <v>3</v>
      </c>
      <c r="BG288" s="31">
        <v>14.26</v>
      </c>
      <c r="BH288" s="31">
        <v>3</v>
      </c>
      <c r="BI288" s="262">
        <f t="shared" si="73"/>
        <v>0.11487222222222222</v>
      </c>
      <c r="BJ288" s="31">
        <v>9.6300000000000008</v>
      </c>
      <c r="BK288" s="31"/>
      <c r="BL288" s="31"/>
      <c r="BM288" s="262" t="s">
        <v>764</v>
      </c>
      <c r="BN288" s="262">
        <v>3</v>
      </c>
      <c r="BO288" s="262">
        <v>12</v>
      </c>
      <c r="BP288" s="262">
        <v>9</v>
      </c>
      <c r="BQ288" s="262">
        <f t="shared" si="74"/>
        <v>324</v>
      </c>
      <c r="BR288" s="262">
        <f t="shared" si="75"/>
        <v>3170.1200000000003</v>
      </c>
      <c r="BS288" s="262" t="s">
        <v>886</v>
      </c>
      <c r="BT288" s="289" t="s">
        <v>766</v>
      </c>
      <c r="BU288" s="1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</row>
    <row r="289" spans="1:83" s="125" customFormat="1" x14ac:dyDescent="0.25">
      <c r="A289" s="278">
        <v>41518</v>
      </c>
      <c r="B289" s="278"/>
      <c r="C289" s="214" t="s">
        <v>2542</v>
      </c>
      <c r="D289" s="270" t="s">
        <v>60</v>
      </c>
      <c r="E289" s="214" t="s">
        <v>2512</v>
      </c>
      <c r="F289" s="308" t="s">
        <v>2543</v>
      </c>
      <c r="G289" s="214" t="s">
        <v>2544</v>
      </c>
      <c r="H289" s="214" t="s">
        <v>2545</v>
      </c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261"/>
      <c r="T289" s="261"/>
      <c r="U289" s="261"/>
      <c r="V289" s="261"/>
      <c r="W289" s="261"/>
      <c r="X289" s="261"/>
      <c r="Y289" s="261"/>
      <c r="Z289" s="261"/>
      <c r="AA289" s="261"/>
      <c r="AB289" s="261"/>
      <c r="AC289" s="261"/>
      <c r="AD289" s="261"/>
      <c r="AE289" s="261"/>
      <c r="AF289" s="261"/>
      <c r="AG289" s="261"/>
      <c r="AH289" s="261"/>
      <c r="AI289" s="261"/>
      <c r="AJ289" s="261"/>
      <c r="AK289" s="261"/>
      <c r="AL289" s="261"/>
      <c r="AM289" s="261"/>
      <c r="AN289" s="261"/>
      <c r="AO289" s="261"/>
      <c r="AP289" s="261"/>
      <c r="AQ289" s="261"/>
      <c r="AR289" s="157">
        <v>29.95</v>
      </c>
      <c r="AS289" s="262" t="s">
        <v>2546</v>
      </c>
      <c r="AT289" s="262"/>
      <c r="AU289" s="262"/>
      <c r="AV289" s="262"/>
      <c r="AW289" s="262"/>
      <c r="AX289" s="262"/>
      <c r="AY289" s="262"/>
      <c r="AZ289" s="262"/>
      <c r="BA289" s="31">
        <v>10.75</v>
      </c>
      <c r="BB289" s="31">
        <v>1.75</v>
      </c>
      <c r="BC289" s="31">
        <v>17.62</v>
      </c>
      <c r="BD289" s="262">
        <f t="shared" si="72"/>
        <v>0.1918265335648148</v>
      </c>
      <c r="BE289" s="31">
        <v>6.6</v>
      </c>
      <c r="BF289" s="31">
        <v>3</v>
      </c>
      <c r="BG289" s="31">
        <v>18.11</v>
      </c>
      <c r="BH289" s="31">
        <v>3</v>
      </c>
      <c r="BI289" s="262">
        <f t="shared" si="73"/>
        <v>0.20751041666666664</v>
      </c>
      <c r="BJ289" s="31">
        <v>12.24</v>
      </c>
      <c r="BK289" s="31"/>
      <c r="BL289" s="31"/>
      <c r="BM289" s="262" t="s">
        <v>764</v>
      </c>
      <c r="BN289" s="262">
        <v>3</v>
      </c>
      <c r="BO289" s="262">
        <v>7</v>
      </c>
      <c r="BP289" s="262">
        <v>6</v>
      </c>
      <c r="BQ289" s="262">
        <f t="shared" si="74"/>
        <v>126</v>
      </c>
      <c r="BR289" s="262">
        <f t="shared" si="75"/>
        <v>1592.24</v>
      </c>
      <c r="BS289" s="262" t="s">
        <v>886</v>
      </c>
      <c r="BT289" s="289" t="s">
        <v>766</v>
      </c>
      <c r="BU289" s="1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</row>
    <row r="290" spans="1:83" s="125" customFormat="1" x14ac:dyDescent="0.25">
      <c r="A290" s="278">
        <v>41518</v>
      </c>
      <c r="B290" s="278"/>
      <c r="C290" s="214" t="s">
        <v>2547</v>
      </c>
      <c r="D290" s="270" t="s">
        <v>60</v>
      </c>
      <c r="E290" s="214" t="s">
        <v>2512</v>
      </c>
      <c r="F290" s="308" t="s">
        <v>2548</v>
      </c>
      <c r="G290" s="214" t="s">
        <v>1148</v>
      </c>
      <c r="H290" s="214" t="s">
        <v>2549</v>
      </c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261"/>
      <c r="T290" s="261"/>
      <c r="U290" s="261"/>
      <c r="V290" s="261"/>
      <c r="W290" s="261"/>
      <c r="X290" s="261"/>
      <c r="Y290" s="261"/>
      <c r="Z290" s="261"/>
      <c r="AA290" s="261"/>
      <c r="AB290" s="261"/>
      <c r="AC290" s="261"/>
      <c r="AD290" s="261"/>
      <c r="AE290" s="261"/>
      <c r="AF290" s="261"/>
      <c r="AG290" s="261"/>
      <c r="AH290" s="261"/>
      <c r="AI290" s="261"/>
      <c r="AJ290" s="261"/>
      <c r="AK290" s="261"/>
      <c r="AL290" s="261"/>
      <c r="AM290" s="261"/>
      <c r="AN290" s="261"/>
      <c r="AO290" s="261"/>
      <c r="AP290" s="261"/>
      <c r="AQ290" s="261"/>
      <c r="AR290" s="157">
        <v>28.58</v>
      </c>
      <c r="AS290" s="262" t="s">
        <v>2550</v>
      </c>
      <c r="AT290" s="262"/>
      <c r="AU290" s="262"/>
      <c r="AV290" s="262"/>
      <c r="AW290" s="262"/>
      <c r="AX290" s="262"/>
      <c r="AY290" s="262"/>
      <c r="AZ290" s="262"/>
      <c r="BA290" s="31">
        <v>14</v>
      </c>
      <c r="BB290" s="31">
        <v>3.06</v>
      </c>
      <c r="BC290" s="31">
        <v>14</v>
      </c>
      <c r="BD290" s="262">
        <f t="shared" si="72"/>
        <v>0.34708333333333335</v>
      </c>
      <c r="BE290" s="31">
        <v>14.73</v>
      </c>
      <c r="BF290" s="31">
        <v>3</v>
      </c>
      <c r="BG290" s="31">
        <v>14.49</v>
      </c>
      <c r="BH290" s="31">
        <v>3</v>
      </c>
      <c r="BI290" s="262">
        <f t="shared" si="73"/>
        <v>0.37055156249999999</v>
      </c>
      <c r="BJ290" s="31">
        <v>9.86</v>
      </c>
      <c r="BK290" s="31"/>
      <c r="BL290" s="31"/>
      <c r="BM290" s="262" t="s">
        <v>764</v>
      </c>
      <c r="BN290" s="262">
        <v>3</v>
      </c>
      <c r="BO290" s="262">
        <v>6</v>
      </c>
      <c r="BP290" s="262">
        <v>4</v>
      </c>
      <c r="BQ290" s="262">
        <f t="shared" si="74"/>
        <v>72</v>
      </c>
      <c r="BR290" s="262">
        <f t="shared" si="75"/>
        <v>759.92</v>
      </c>
      <c r="BS290" s="262" t="s">
        <v>886</v>
      </c>
      <c r="BT290" s="289" t="s">
        <v>766</v>
      </c>
      <c r="BU290" s="1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</row>
    <row r="291" spans="1:83" s="125" customFormat="1" x14ac:dyDescent="0.25">
      <c r="A291" s="278">
        <v>41518</v>
      </c>
      <c r="B291" s="278"/>
      <c r="C291" s="214" t="s">
        <v>2551</v>
      </c>
      <c r="D291" s="270" t="s">
        <v>60</v>
      </c>
      <c r="E291" s="214" t="s">
        <v>2512</v>
      </c>
      <c r="F291" s="308" t="s">
        <v>2552</v>
      </c>
      <c r="G291" s="214" t="s">
        <v>2532</v>
      </c>
      <c r="H291" s="214">
        <v>8031900159</v>
      </c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61"/>
      <c r="U291" s="261"/>
      <c r="V291" s="261"/>
      <c r="W291" s="261"/>
      <c r="X291" s="261"/>
      <c r="Y291" s="261"/>
      <c r="Z291" s="261"/>
      <c r="AA291" s="261"/>
      <c r="AB291" s="261"/>
      <c r="AC291" s="261"/>
      <c r="AD291" s="261"/>
      <c r="AE291" s="261"/>
      <c r="AF291" s="261"/>
      <c r="AG291" s="261"/>
      <c r="AH291" s="261"/>
      <c r="AI291" s="261"/>
      <c r="AJ291" s="261"/>
      <c r="AK291" s="261"/>
      <c r="AL291" s="261"/>
      <c r="AM291" s="261"/>
      <c r="AN291" s="261"/>
      <c r="AO291" s="261"/>
      <c r="AP291" s="261"/>
      <c r="AQ291" s="261"/>
      <c r="AR291" s="157">
        <v>14.95</v>
      </c>
      <c r="AS291" s="262" t="s">
        <v>2553</v>
      </c>
      <c r="AT291" s="262"/>
      <c r="AU291" s="262"/>
      <c r="AV291" s="262"/>
      <c r="AW291" s="262"/>
      <c r="AX291" s="262"/>
      <c r="AY291" s="262"/>
      <c r="AZ291" s="262"/>
      <c r="BA291" s="31">
        <v>9.06</v>
      </c>
      <c r="BB291" s="31">
        <v>1.37</v>
      </c>
      <c r="BC291" s="31">
        <v>9.25</v>
      </c>
      <c r="BD291" s="262">
        <f t="shared" si="72"/>
        <v>6.6442621527777787E-2</v>
      </c>
      <c r="BE291" s="31">
        <v>4.7300000000000004</v>
      </c>
      <c r="BF291" s="31">
        <v>3</v>
      </c>
      <c r="BG291" s="31">
        <v>10.49</v>
      </c>
      <c r="BH291" s="31">
        <v>3</v>
      </c>
      <c r="BI291" s="262">
        <f t="shared" si="73"/>
        <v>8.6141840277777784E-2</v>
      </c>
      <c r="BJ291" s="31">
        <v>9.99</v>
      </c>
      <c r="BK291" s="31"/>
      <c r="BL291" s="31"/>
      <c r="BM291" s="262" t="s">
        <v>764</v>
      </c>
      <c r="BN291" s="262">
        <v>3</v>
      </c>
      <c r="BO291" s="262">
        <v>16</v>
      </c>
      <c r="BP291" s="262">
        <v>9</v>
      </c>
      <c r="BQ291" s="262">
        <f t="shared" si="74"/>
        <v>432</v>
      </c>
      <c r="BR291" s="262">
        <f t="shared" si="75"/>
        <v>4365.68</v>
      </c>
      <c r="BS291" s="262" t="s">
        <v>886</v>
      </c>
      <c r="BT291" s="289" t="s">
        <v>766</v>
      </c>
      <c r="BU291" s="1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</row>
    <row r="292" spans="1:83" s="125" customFormat="1" x14ac:dyDescent="0.25">
      <c r="A292" s="278">
        <v>41518</v>
      </c>
      <c r="B292" s="278"/>
      <c r="C292" s="214" t="s">
        <v>2554</v>
      </c>
      <c r="D292" s="270" t="s">
        <v>60</v>
      </c>
      <c r="E292" s="214" t="s">
        <v>2512</v>
      </c>
      <c r="F292" s="308" t="s">
        <v>2555</v>
      </c>
      <c r="G292" s="214" t="s">
        <v>2532</v>
      </c>
      <c r="H292" s="214">
        <v>91595</v>
      </c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261"/>
      <c r="T292" s="261"/>
      <c r="U292" s="261"/>
      <c r="V292" s="261"/>
      <c r="W292" s="261"/>
      <c r="X292" s="261"/>
      <c r="Y292" s="261"/>
      <c r="Z292" s="261"/>
      <c r="AA292" s="261"/>
      <c r="AB292" s="261"/>
      <c r="AC292" s="261"/>
      <c r="AD292" s="261"/>
      <c r="AE292" s="261"/>
      <c r="AF292" s="261"/>
      <c r="AG292" s="261"/>
      <c r="AH292" s="261"/>
      <c r="AI292" s="261"/>
      <c r="AJ292" s="261"/>
      <c r="AK292" s="261"/>
      <c r="AL292" s="261"/>
      <c r="AM292" s="261"/>
      <c r="AN292" s="261"/>
      <c r="AO292" s="261"/>
      <c r="AP292" s="261"/>
      <c r="AQ292" s="261"/>
      <c r="AR292" s="157">
        <v>12.95</v>
      </c>
      <c r="AS292" s="262" t="s">
        <v>2556</v>
      </c>
      <c r="AT292" s="262"/>
      <c r="AU292" s="262"/>
      <c r="AV292" s="262"/>
      <c r="AW292" s="262"/>
      <c r="AX292" s="262"/>
      <c r="AY292" s="262"/>
      <c r="AZ292" s="262"/>
      <c r="BA292" s="31">
        <v>9.06</v>
      </c>
      <c r="BB292" s="31">
        <v>1.37</v>
      </c>
      <c r="BC292" s="31">
        <v>9.25</v>
      </c>
      <c r="BD292" s="262">
        <f t="shared" si="72"/>
        <v>6.6442621527777787E-2</v>
      </c>
      <c r="BE292" s="31">
        <v>4.7300000000000004</v>
      </c>
      <c r="BF292" s="31">
        <v>3</v>
      </c>
      <c r="BG292" s="31">
        <v>10.49</v>
      </c>
      <c r="BH292" s="31">
        <v>3</v>
      </c>
      <c r="BI292" s="262">
        <f t="shared" si="73"/>
        <v>8.6141840277777784E-2</v>
      </c>
      <c r="BJ292" s="31">
        <v>9.99</v>
      </c>
      <c r="BK292" s="31"/>
      <c r="BL292" s="31"/>
      <c r="BM292" s="262" t="s">
        <v>764</v>
      </c>
      <c r="BN292" s="262">
        <v>3</v>
      </c>
      <c r="BO292" s="262">
        <v>16</v>
      </c>
      <c r="BP292" s="262">
        <v>9</v>
      </c>
      <c r="BQ292" s="262">
        <f t="shared" si="74"/>
        <v>432</v>
      </c>
      <c r="BR292" s="262">
        <f t="shared" si="75"/>
        <v>4365.68</v>
      </c>
      <c r="BS292" s="262" t="s">
        <v>886</v>
      </c>
      <c r="BT292" s="289" t="s">
        <v>766</v>
      </c>
      <c r="BU292" s="1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</row>
    <row r="293" spans="1:83" s="125" customFormat="1" x14ac:dyDescent="0.25">
      <c r="A293" s="278">
        <v>41518</v>
      </c>
      <c r="B293" s="278"/>
      <c r="C293" s="214" t="s">
        <v>2557</v>
      </c>
      <c r="D293" s="270" t="s">
        <v>60</v>
      </c>
      <c r="E293" s="214" t="s">
        <v>2512</v>
      </c>
      <c r="F293" s="308" t="s">
        <v>2558</v>
      </c>
      <c r="G293" s="214" t="s">
        <v>2559</v>
      </c>
      <c r="H293" s="214" t="s">
        <v>2560</v>
      </c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261"/>
      <c r="T293" s="261"/>
      <c r="U293" s="261"/>
      <c r="V293" s="261"/>
      <c r="W293" s="261"/>
      <c r="X293" s="261"/>
      <c r="Y293" s="261"/>
      <c r="Z293" s="261"/>
      <c r="AA293" s="261"/>
      <c r="AB293" s="261"/>
      <c r="AC293" s="261"/>
      <c r="AD293" s="261"/>
      <c r="AE293" s="261"/>
      <c r="AF293" s="261"/>
      <c r="AG293" s="261"/>
      <c r="AH293" s="261"/>
      <c r="AI293" s="261"/>
      <c r="AJ293" s="261"/>
      <c r="AK293" s="261"/>
      <c r="AL293" s="261"/>
      <c r="AM293" s="261"/>
      <c r="AN293" s="261"/>
      <c r="AO293" s="261"/>
      <c r="AP293" s="261"/>
      <c r="AQ293" s="261"/>
      <c r="AR293" s="157">
        <v>34.299999999999997</v>
      </c>
      <c r="AS293" s="262" t="s">
        <v>2561</v>
      </c>
      <c r="AT293" s="262"/>
      <c r="AU293" s="262"/>
      <c r="AV293" s="262"/>
      <c r="AW293" s="262"/>
      <c r="AX293" s="262"/>
      <c r="AY293" s="262"/>
      <c r="AZ293" s="262"/>
      <c r="BA293" s="31">
        <v>7.09</v>
      </c>
      <c r="BB293" s="31">
        <v>1.53</v>
      </c>
      <c r="BC293" s="31">
        <v>11.5</v>
      </c>
      <c r="BD293" s="262">
        <f t="shared" si="72"/>
        <v>7.2192447916666666E-2</v>
      </c>
      <c r="BE293" s="31">
        <v>5.23</v>
      </c>
      <c r="BF293" s="31">
        <v>3</v>
      </c>
      <c r="BG293" s="31">
        <v>11.92</v>
      </c>
      <c r="BH293" s="31">
        <v>3</v>
      </c>
      <c r="BI293" s="262">
        <f t="shared" si="73"/>
        <v>0.10823194444444445</v>
      </c>
      <c r="BJ293" s="31">
        <v>7.99</v>
      </c>
      <c r="BK293" s="31"/>
      <c r="BL293" s="31"/>
      <c r="BM293" s="262" t="s">
        <v>764</v>
      </c>
      <c r="BN293" s="262">
        <v>3</v>
      </c>
      <c r="BO293" s="262">
        <v>20</v>
      </c>
      <c r="BP293" s="262">
        <v>8</v>
      </c>
      <c r="BQ293" s="262">
        <f t="shared" si="74"/>
        <v>480</v>
      </c>
      <c r="BR293" s="262">
        <f t="shared" si="75"/>
        <v>3885.2000000000003</v>
      </c>
      <c r="BS293" s="262" t="s">
        <v>886</v>
      </c>
      <c r="BT293" s="289" t="s">
        <v>766</v>
      </c>
      <c r="BU293" s="1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</row>
    <row r="294" spans="1:83" s="125" customFormat="1" x14ac:dyDescent="0.25">
      <c r="A294" s="278">
        <v>41518</v>
      </c>
      <c r="B294" s="278"/>
      <c r="C294" s="214" t="s">
        <v>2562</v>
      </c>
      <c r="D294" s="270" t="s">
        <v>60</v>
      </c>
      <c r="E294" s="214" t="s">
        <v>2512</v>
      </c>
      <c r="F294" s="308" t="s">
        <v>2563</v>
      </c>
      <c r="G294" s="214" t="s">
        <v>1148</v>
      </c>
      <c r="H294" s="214" t="s">
        <v>2564</v>
      </c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261"/>
      <c r="T294" s="261"/>
      <c r="U294" s="261"/>
      <c r="V294" s="261"/>
      <c r="W294" s="261"/>
      <c r="X294" s="261"/>
      <c r="Y294" s="261"/>
      <c r="Z294" s="261"/>
      <c r="AA294" s="261"/>
      <c r="AB294" s="261"/>
      <c r="AC294" s="261"/>
      <c r="AD294" s="261"/>
      <c r="AE294" s="261"/>
      <c r="AF294" s="261"/>
      <c r="AG294" s="261"/>
      <c r="AH294" s="261"/>
      <c r="AI294" s="261"/>
      <c r="AJ294" s="261"/>
      <c r="AK294" s="261"/>
      <c r="AL294" s="261"/>
      <c r="AM294" s="261"/>
      <c r="AN294" s="261"/>
      <c r="AO294" s="261"/>
      <c r="AP294" s="261"/>
      <c r="AQ294" s="261"/>
      <c r="AR294" s="157">
        <v>38.9</v>
      </c>
      <c r="AS294" s="262" t="s">
        <v>2565</v>
      </c>
      <c r="AT294" s="262"/>
      <c r="AU294" s="262"/>
      <c r="AV294" s="262"/>
      <c r="AW294" s="262"/>
      <c r="AX294" s="262"/>
      <c r="AY294" s="262"/>
      <c r="AZ294" s="262"/>
      <c r="BA294" s="31">
        <v>7.5</v>
      </c>
      <c r="BB294" s="31">
        <v>1.31</v>
      </c>
      <c r="BC294" s="31">
        <v>13</v>
      </c>
      <c r="BD294" s="262">
        <f t="shared" si="72"/>
        <v>7.3914930555555564E-2</v>
      </c>
      <c r="BE294" s="31">
        <v>4.6399999999999997</v>
      </c>
      <c r="BF294" s="31">
        <v>3</v>
      </c>
      <c r="BG294" s="31">
        <v>14.26</v>
      </c>
      <c r="BH294" s="31">
        <v>3</v>
      </c>
      <c r="BI294" s="262">
        <f t="shared" si="73"/>
        <v>0.11487222222222222</v>
      </c>
      <c r="BJ294" s="31">
        <v>9.6300000000000008</v>
      </c>
      <c r="BK294" s="31"/>
      <c r="BL294" s="31"/>
      <c r="BM294" s="262" t="s">
        <v>764</v>
      </c>
      <c r="BN294" s="262">
        <v>3</v>
      </c>
      <c r="BO294" s="262">
        <v>12</v>
      </c>
      <c r="BP294" s="262">
        <v>9</v>
      </c>
      <c r="BQ294" s="262">
        <f t="shared" si="74"/>
        <v>324</v>
      </c>
      <c r="BR294" s="262">
        <f t="shared" si="75"/>
        <v>3170.1200000000003</v>
      </c>
      <c r="BS294" s="262" t="s">
        <v>886</v>
      </c>
      <c r="BT294" s="289" t="s">
        <v>766</v>
      </c>
      <c r="BU294" s="1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</row>
    <row r="295" spans="1:83" s="125" customFormat="1" x14ac:dyDescent="0.25">
      <c r="A295" s="278">
        <v>41518</v>
      </c>
      <c r="B295" s="278"/>
      <c r="C295" s="214" t="s">
        <v>2566</v>
      </c>
      <c r="D295" s="270" t="s">
        <v>60</v>
      </c>
      <c r="E295" s="214" t="s">
        <v>2512</v>
      </c>
      <c r="F295" s="308" t="s">
        <v>2567</v>
      </c>
      <c r="G295" s="214" t="s">
        <v>2532</v>
      </c>
      <c r="H295" s="214" t="s">
        <v>2568</v>
      </c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261"/>
      <c r="T295" s="261"/>
      <c r="U295" s="261"/>
      <c r="V295" s="261"/>
      <c r="W295" s="261"/>
      <c r="X295" s="261"/>
      <c r="Y295" s="261"/>
      <c r="Z295" s="261"/>
      <c r="AA295" s="261"/>
      <c r="AB295" s="261"/>
      <c r="AC295" s="261"/>
      <c r="AD295" s="261"/>
      <c r="AE295" s="261"/>
      <c r="AF295" s="261"/>
      <c r="AG295" s="261"/>
      <c r="AH295" s="261"/>
      <c r="AI295" s="261"/>
      <c r="AJ295" s="261"/>
      <c r="AK295" s="261"/>
      <c r="AL295" s="261"/>
      <c r="AM295" s="261"/>
      <c r="AN295" s="261"/>
      <c r="AO295" s="261"/>
      <c r="AP295" s="261"/>
      <c r="AQ295" s="261"/>
      <c r="AR295" s="157">
        <v>23.95</v>
      </c>
      <c r="AS295" s="262" t="s">
        <v>2569</v>
      </c>
      <c r="AT295" s="262"/>
      <c r="AU295" s="262"/>
      <c r="AV295" s="262"/>
      <c r="AW295" s="262"/>
      <c r="AX295" s="262"/>
      <c r="AY295" s="262"/>
      <c r="AZ295" s="262"/>
      <c r="BA295" s="31">
        <v>9.06</v>
      </c>
      <c r="BB295" s="31">
        <v>1.37</v>
      </c>
      <c r="BC295" s="31">
        <v>9.25</v>
      </c>
      <c r="BD295" s="262">
        <f t="shared" si="72"/>
        <v>6.6442621527777787E-2</v>
      </c>
      <c r="BE295" s="31">
        <v>4.7300000000000004</v>
      </c>
      <c r="BF295" s="31">
        <v>3</v>
      </c>
      <c r="BG295" s="31">
        <v>10.49</v>
      </c>
      <c r="BH295" s="31">
        <v>3</v>
      </c>
      <c r="BI295" s="262">
        <f t="shared" si="73"/>
        <v>8.6141840277777784E-2</v>
      </c>
      <c r="BJ295" s="31">
        <v>9.99</v>
      </c>
      <c r="BK295" s="31"/>
      <c r="BL295" s="31"/>
      <c r="BM295" s="262" t="s">
        <v>764</v>
      </c>
      <c r="BN295" s="262">
        <v>3</v>
      </c>
      <c r="BO295" s="262">
        <v>16</v>
      </c>
      <c r="BP295" s="262">
        <v>9</v>
      </c>
      <c r="BQ295" s="262">
        <f t="shared" si="74"/>
        <v>432</v>
      </c>
      <c r="BR295" s="262">
        <f t="shared" si="75"/>
        <v>4365.68</v>
      </c>
      <c r="BS295" s="262" t="s">
        <v>886</v>
      </c>
      <c r="BT295" s="289" t="s">
        <v>766</v>
      </c>
      <c r="BU295" s="1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</row>
    <row r="296" spans="1:83" s="125" customFormat="1" x14ac:dyDescent="0.25">
      <c r="A296" s="278">
        <v>41518</v>
      </c>
      <c r="B296" s="278"/>
      <c r="C296" s="214" t="s">
        <v>2570</v>
      </c>
      <c r="D296" s="270" t="s">
        <v>60</v>
      </c>
      <c r="E296" s="214" t="s">
        <v>2512</v>
      </c>
      <c r="F296" s="308" t="s">
        <v>2571</v>
      </c>
      <c r="G296" s="214" t="s">
        <v>2572</v>
      </c>
      <c r="H296" s="214" t="s">
        <v>2573</v>
      </c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261"/>
      <c r="T296" s="261"/>
      <c r="U296" s="261"/>
      <c r="V296" s="261"/>
      <c r="W296" s="261"/>
      <c r="X296" s="261"/>
      <c r="Y296" s="261"/>
      <c r="Z296" s="261"/>
      <c r="AA296" s="261"/>
      <c r="AB296" s="261"/>
      <c r="AC296" s="261"/>
      <c r="AD296" s="261"/>
      <c r="AE296" s="261"/>
      <c r="AF296" s="261"/>
      <c r="AG296" s="261"/>
      <c r="AH296" s="261"/>
      <c r="AI296" s="261"/>
      <c r="AJ296" s="261"/>
      <c r="AK296" s="261"/>
      <c r="AL296" s="261"/>
      <c r="AM296" s="261"/>
      <c r="AN296" s="261"/>
      <c r="AO296" s="261"/>
      <c r="AP296" s="261"/>
      <c r="AQ296" s="261"/>
      <c r="AR296" s="157">
        <v>69.900000000000006</v>
      </c>
      <c r="AS296" s="262"/>
      <c r="AT296" s="261"/>
      <c r="AU296" s="261"/>
      <c r="AV296" s="261"/>
      <c r="AW296" s="261"/>
      <c r="AX296" s="261"/>
      <c r="AY296" s="261"/>
      <c r="AZ296" s="261"/>
      <c r="BA296" s="261"/>
      <c r="BB296" s="261"/>
      <c r="BC296" s="261"/>
      <c r="BD296" s="261"/>
      <c r="BE296" s="261"/>
      <c r="BF296" s="261"/>
      <c r="BG296" s="261"/>
      <c r="BH296" s="261"/>
      <c r="BI296" s="261"/>
      <c r="BJ296" s="261"/>
      <c r="BK296" s="261"/>
      <c r="BL296" s="261"/>
      <c r="BM296" s="262" t="s">
        <v>764</v>
      </c>
      <c r="BN296" s="261"/>
      <c r="BO296" s="261"/>
      <c r="BP296" s="261"/>
      <c r="BQ296" s="261"/>
      <c r="BR296" s="262"/>
      <c r="BS296" s="261"/>
      <c r="BT296" s="289" t="s">
        <v>766</v>
      </c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</row>
    <row r="297" spans="1:83" s="125" customFormat="1" x14ac:dyDescent="0.25">
      <c r="A297" s="278">
        <v>41518</v>
      </c>
      <c r="B297" s="278"/>
      <c r="C297" s="261" t="s">
        <v>2574</v>
      </c>
      <c r="D297" s="270" t="s">
        <v>60</v>
      </c>
      <c r="E297" s="262" t="s">
        <v>2415</v>
      </c>
      <c r="F297" s="214" t="s">
        <v>2575</v>
      </c>
      <c r="G297" s="261" t="s">
        <v>2576</v>
      </c>
      <c r="H297" s="261" t="s">
        <v>2577</v>
      </c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261"/>
      <c r="T297" s="261"/>
      <c r="U297" s="261" t="s">
        <v>2578</v>
      </c>
      <c r="V297" s="261"/>
      <c r="W297" s="261">
        <v>89117</v>
      </c>
      <c r="X297" s="261"/>
      <c r="Y297" s="261"/>
      <c r="Z297" s="261"/>
      <c r="AA297" s="261" t="s">
        <v>2579</v>
      </c>
      <c r="AB297" s="261"/>
      <c r="AC297" s="261" t="s">
        <v>2580</v>
      </c>
      <c r="AD297" s="261"/>
      <c r="AE297" s="261"/>
      <c r="AF297" s="261"/>
      <c r="AG297" s="261"/>
      <c r="AH297" s="261"/>
      <c r="AI297" s="261"/>
      <c r="AJ297" s="261"/>
      <c r="AK297" s="261">
        <v>4117</v>
      </c>
      <c r="AL297" s="261"/>
      <c r="AM297" s="261"/>
      <c r="AN297" s="261"/>
      <c r="AO297" s="261"/>
      <c r="AP297" s="261"/>
      <c r="AQ297" s="261">
        <v>24117</v>
      </c>
      <c r="AR297" s="157">
        <v>12.16</v>
      </c>
      <c r="AS297" s="262"/>
      <c r="AT297" s="261"/>
      <c r="AU297" s="261"/>
      <c r="AV297" s="261"/>
      <c r="AW297" s="261"/>
      <c r="AX297" s="261"/>
      <c r="AY297" s="261"/>
      <c r="AZ297" s="261"/>
      <c r="BA297" s="261"/>
      <c r="BB297" s="261"/>
      <c r="BC297" s="261"/>
      <c r="BD297" s="261"/>
      <c r="BE297" s="261"/>
      <c r="BF297" s="261"/>
      <c r="BG297" s="261"/>
      <c r="BH297" s="261"/>
      <c r="BI297" s="261"/>
      <c r="BJ297" s="261"/>
      <c r="BK297" s="261"/>
      <c r="BL297" s="261"/>
      <c r="BM297" s="262" t="s">
        <v>764</v>
      </c>
      <c r="BN297" s="261"/>
      <c r="BO297" s="261">
        <v>26</v>
      </c>
      <c r="BP297" s="261">
        <v>7</v>
      </c>
      <c r="BQ297" s="261">
        <v>546</v>
      </c>
      <c r="BR297" s="262"/>
      <c r="BS297" s="261"/>
      <c r="BT297" s="289" t="s">
        <v>766</v>
      </c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</row>
    <row r="298" spans="1:83" s="125" customFormat="1" x14ac:dyDescent="0.25">
      <c r="A298" s="278">
        <v>41518</v>
      </c>
      <c r="B298" s="278"/>
      <c r="C298" s="261" t="s">
        <v>2581</v>
      </c>
      <c r="D298" s="270" t="s">
        <v>60</v>
      </c>
      <c r="E298" s="262" t="s">
        <v>696</v>
      </c>
      <c r="F298" s="301" t="s">
        <v>2582</v>
      </c>
      <c r="G298" s="261" t="s">
        <v>785</v>
      </c>
      <c r="H298" s="261">
        <v>87720899</v>
      </c>
      <c r="I298" s="261" t="s">
        <v>980</v>
      </c>
      <c r="J298" s="261" t="s">
        <v>2583</v>
      </c>
      <c r="K298" s="261"/>
      <c r="L298" s="261"/>
      <c r="M298" s="261"/>
      <c r="N298" s="261"/>
      <c r="O298" s="261"/>
      <c r="P298" s="261"/>
      <c r="Q298" s="261"/>
      <c r="R298" s="261"/>
      <c r="S298" s="261"/>
      <c r="T298" s="261"/>
      <c r="U298" s="261" t="s">
        <v>2584</v>
      </c>
      <c r="V298" s="261"/>
      <c r="W298" s="261">
        <v>87795</v>
      </c>
      <c r="X298" s="261"/>
      <c r="Y298" s="261" t="s">
        <v>2585</v>
      </c>
      <c r="Z298" s="261"/>
      <c r="AA298" s="261" t="s">
        <v>2586</v>
      </c>
      <c r="AB298" s="261"/>
      <c r="AC298" s="261" t="s">
        <v>2587</v>
      </c>
      <c r="AD298" s="261" t="s">
        <v>2588</v>
      </c>
      <c r="AE298" s="261"/>
      <c r="AF298" s="261"/>
      <c r="AG298" s="261"/>
      <c r="AH298" s="261" t="s">
        <v>2589</v>
      </c>
      <c r="AI298" s="261"/>
      <c r="AJ298" s="261"/>
      <c r="AK298" s="261">
        <v>2795</v>
      </c>
      <c r="AL298" s="261"/>
      <c r="AM298" s="261"/>
      <c r="AN298" s="261"/>
      <c r="AO298" s="261"/>
      <c r="AP298" s="261"/>
      <c r="AQ298" s="261">
        <v>42795</v>
      </c>
      <c r="AR298" s="157">
        <v>59.92</v>
      </c>
      <c r="AS298" s="262"/>
      <c r="AT298" s="261"/>
      <c r="AU298" s="261"/>
      <c r="AV298" s="261"/>
      <c r="AW298" s="261"/>
      <c r="AX298" s="261"/>
      <c r="AY298" s="261"/>
      <c r="AZ298" s="261"/>
      <c r="BA298" s="261"/>
      <c r="BB298" s="261"/>
      <c r="BC298" s="261"/>
      <c r="BD298" s="261"/>
      <c r="BE298" s="261"/>
      <c r="BF298" s="261"/>
      <c r="BG298" s="261"/>
      <c r="BH298" s="261"/>
      <c r="BI298" s="261"/>
      <c r="BJ298" s="261"/>
      <c r="BK298" s="261"/>
      <c r="BL298" s="261"/>
      <c r="BM298" s="262" t="s">
        <v>764</v>
      </c>
      <c r="BN298" s="261"/>
      <c r="BO298" s="261">
        <v>136</v>
      </c>
      <c r="BP298" s="261">
        <v>3</v>
      </c>
      <c r="BQ298" s="261">
        <v>408</v>
      </c>
      <c r="BR298" s="262"/>
      <c r="BS298" s="261"/>
      <c r="BT298" s="289" t="s">
        <v>766</v>
      </c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</row>
    <row r="299" spans="1:83" s="125" customFormat="1" ht="30" x14ac:dyDescent="0.25">
      <c r="A299" s="278">
        <v>41518</v>
      </c>
      <c r="B299" s="278"/>
      <c r="C299" s="261" t="s">
        <v>2590</v>
      </c>
      <c r="D299" s="270" t="s">
        <v>60</v>
      </c>
      <c r="E299" s="262" t="s">
        <v>696</v>
      </c>
      <c r="F299" s="301" t="s">
        <v>2591</v>
      </c>
      <c r="G299" s="261" t="s">
        <v>856</v>
      </c>
      <c r="H299" s="261">
        <v>3903343</v>
      </c>
      <c r="I299" s="261" t="s">
        <v>1478</v>
      </c>
      <c r="J299" s="261" t="s">
        <v>2592</v>
      </c>
      <c r="K299" s="261" t="s">
        <v>2593</v>
      </c>
      <c r="L299" s="261" t="s">
        <v>2594</v>
      </c>
      <c r="M299" s="261"/>
      <c r="N299" s="261"/>
      <c r="O299" s="261"/>
      <c r="P299" s="261"/>
      <c r="Q299" s="261"/>
      <c r="R299" s="261"/>
      <c r="S299" s="261"/>
      <c r="T299" s="261"/>
      <c r="U299" s="261"/>
      <c r="V299" s="261"/>
      <c r="W299" s="261"/>
      <c r="X299" s="261"/>
      <c r="Y299" s="261"/>
      <c r="Z299" s="261"/>
      <c r="AA299" s="261"/>
      <c r="AB299" s="261"/>
      <c r="AC299" s="261"/>
      <c r="AD299" s="261"/>
      <c r="AE299" s="261"/>
      <c r="AF299" s="261"/>
      <c r="AG299" s="261"/>
      <c r="AH299" s="261"/>
      <c r="AI299" s="261"/>
      <c r="AJ299" s="261"/>
      <c r="AK299" s="261"/>
      <c r="AL299" s="261"/>
      <c r="AM299" s="261"/>
      <c r="AN299" s="261"/>
      <c r="AO299" s="261"/>
      <c r="AP299" s="261"/>
      <c r="AQ299" s="261"/>
      <c r="AR299" s="157">
        <v>355</v>
      </c>
      <c r="AS299" s="262"/>
      <c r="AT299" s="261"/>
      <c r="AU299" s="261"/>
      <c r="AV299" s="261"/>
      <c r="AW299" s="261"/>
      <c r="AX299" s="261"/>
      <c r="AY299" s="261"/>
      <c r="AZ299" s="261"/>
      <c r="BA299" s="261"/>
      <c r="BB299" s="261"/>
      <c r="BC299" s="261"/>
      <c r="BD299" s="261"/>
      <c r="BE299" s="261"/>
      <c r="BF299" s="261"/>
      <c r="BG299" s="261"/>
      <c r="BH299" s="261"/>
      <c r="BI299" s="261"/>
      <c r="BJ299" s="261"/>
      <c r="BK299" s="261"/>
      <c r="BL299" s="261"/>
      <c r="BM299" s="262" t="s">
        <v>764</v>
      </c>
      <c r="BN299" s="261"/>
      <c r="BO299" s="261">
        <v>4</v>
      </c>
      <c r="BP299" s="261">
        <v>4</v>
      </c>
      <c r="BQ299" s="261">
        <v>16</v>
      </c>
      <c r="BR299" s="262"/>
      <c r="BS299" s="261"/>
      <c r="BT299" s="289" t="s">
        <v>766</v>
      </c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</row>
    <row r="300" spans="1:83" s="125" customFormat="1" x14ac:dyDescent="0.25">
      <c r="A300" s="278">
        <v>41518</v>
      </c>
      <c r="B300" s="278"/>
      <c r="C300" s="261" t="s">
        <v>2595</v>
      </c>
      <c r="D300" s="270" t="s">
        <v>60</v>
      </c>
      <c r="E300" s="262" t="s">
        <v>2596</v>
      </c>
      <c r="F300" s="301" t="s">
        <v>2597</v>
      </c>
      <c r="G300" s="261" t="s">
        <v>1148</v>
      </c>
      <c r="H300" s="261" t="s">
        <v>2598</v>
      </c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261"/>
      <c r="T300" s="261"/>
      <c r="U300" s="261"/>
      <c r="V300" s="261"/>
      <c r="W300" s="261">
        <v>84708</v>
      </c>
      <c r="X300" s="261"/>
      <c r="Y300" s="261"/>
      <c r="Z300" s="261"/>
      <c r="AA300" s="261" t="s">
        <v>2599</v>
      </c>
      <c r="AB300" s="261"/>
      <c r="AC300" s="261"/>
      <c r="AD300" s="261"/>
      <c r="AE300" s="261"/>
      <c r="AF300" s="261"/>
      <c r="AG300" s="261"/>
      <c r="AH300" s="261"/>
      <c r="AI300" s="261"/>
      <c r="AJ300" s="261"/>
      <c r="AK300" s="261">
        <v>7708</v>
      </c>
      <c r="AL300" s="261"/>
      <c r="AM300" s="261"/>
      <c r="AN300" s="261"/>
      <c r="AO300" s="261"/>
      <c r="AP300" s="261"/>
      <c r="AQ300" s="261">
        <v>57708</v>
      </c>
      <c r="AR300" s="157">
        <v>66.42</v>
      </c>
      <c r="AS300" s="262"/>
      <c r="AT300" s="261"/>
      <c r="AU300" s="261"/>
      <c r="AV300" s="261"/>
      <c r="AW300" s="261"/>
      <c r="AX300" s="261"/>
      <c r="AY300" s="261"/>
      <c r="AZ300" s="261"/>
      <c r="BA300" s="261"/>
      <c r="BB300" s="261"/>
      <c r="BC300" s="261"/>
      <c r="BD300" s="261"/>
      <c r="BE300" s="261"/>
      <c r="BF300" s="261"/>
      <c r="BG300" s="261"/>
      <c r="BH300" s="261"/>
      <c r="BI300" s="261"/>
      <c r="BJ300" s="261"/>
      <c r="BK300" s="261"/>
      <c r="BL300" s="261"/>
      <c r="BM300" s="262" t="s">
        <v>764</v>
      </c>
      <c r="BN300" s="261"/>
      <c r="BO300" s="261">
        <v>10</v>
      </c>
      <c r="BP300" s="261">
        <v>3</v>
      </c>
      <c r="BQ300" s="261">
        <v>180</v>
      </c>
      <c r="BR300" s="262"/>
      <c r="BS300" s="261"/>
      <c r="BT300" s="289" t="s">
        <v>766</v>
      </c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</row>
    <row r="301" spans="1:83" s="125" customFormat="1" x14ac:dyDescent="0.25">
      <c r="A301" s="278">
        <v>41518</v>
      </c>
      <c r="B301" s="278"/>
      <c r="C301" s="262" t="s">
        <v>2600</v>
      </c>
      <c r="D301" s="270" t="s">
        <v>60</v>
      </c>
      <c r="E301" s="262" t="s">
        <v>2480</v>
      </c>
      <c r="F301" s="310" t="s">
        <v>2601</v>
      </c>
      <c r="G301" s="261" t="s">
        <v>2602</v>
      </c>
      <c r="H301" s="261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261"/>
      <c r="T301" s="261"/>
      <c r="U301" s="261"/>
      <c r="V301" s="261"/>
      <c r="W301" s="261"/>
      <c r="X301" s="261"/>
      <c r="Y301" s="261"/>
      <c r="Z301" s="261"/>
      <c r="AA301" s="261"/>
      <c r="AB301" s="261"/>
      <c r="AC301" s="261"/>
      <c r="AD301" s="261"/>
      <c r="AE301" s="261"/>
      <c r="AF301" s="261"/>
      <c r="AG301" s="261"/>
      <c r="AH301" s="261"/>
      <c r="AI301" s="261"/>
      <c r="AJ301" s="261"/>
      <c r="AK301" s="261"/>
      <c r="AL301" s="261"/>
      <c r="AM301" s="261"/>
      <c r="AN301" s="261"/>
      <c r="AO301" s="261"/>
      <c r="AP301" s="261"/>
      <c r="AQ301" s="261"/>
      <c r="AR301" s="157">
        <v>118.03</v>
      </c>
      <c r="AS301" s="262"/>
      <c r="AT301" s="262"/>
      <c r="AU301" s="262"/>
      <c r="AV301" s="262"/>
      <c r="AW301" s="262"/>
      <c r="AX301" s="262"/>
      <c r="AY301" s="262"/>
      <c r="AZ301" s="262"/>
      <c r="BA301" s="262"/>
      <c r="BB301" s="262"/>
      <c r="BC301" s="262"/>
      <c r="BD301" s="262"/>
      <c r="BE301" s="262"/>
      <c r="BF301" s="262"/>
      <c r="BG301" s="262"/>
      <c r="BH301" s="262"/>
      <c r="BI301" s="262"/>
      <c r="BJ301" s="262"/>
      <c r="BK301" s="262"/>
      <c r="BL301" s="262"/>
      <c r="BM301" s="262" t="s">
        <v>764</v>
      </c>
      <c r="BN301" s="262"/>
      <c r="BO301" s="262"/>
      <c r="BP301" s="262"/>
      <c r="BQ301" s="262"/>
      <c r="BR301" s="262"/>
      <c r="BS301" s="262"/>
      <c r="BT301" s="289" t="s">
        <v>780</v>
      </c>
      <c r="BU301" s="1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</row>
    <row r="302" spans="1:83" s="125" customFormat="1" x14ac:dyDescent="0.25">
      <c r="A302" s="278">
        <v>41334</v>
      </c>
      <c r="B302" s="278"/>
      <c r="C302" s="26" t="s">
        <v>2603</v>
      </c>
      <c r="D302" s="270" t="s">
        <v>60</v>
      </c>
      <c r="E302" s="261" t="s">
        <v>696</v>
      </c>
      <c r="F302" s="301"/>
      <c r="G302" s="261"/>
      <c r="H302" s="261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261"/>
      <c r="T302" s="261"/>
      <c r="U302" s="261"/>
      <c r="V302" s="261"/>
      <c r="W302" s="261"/>
      <c r="X302" s="261"/>
      <c r="Y302" s="261"/>
      <c r="Z302" s="261"/>
      <c r="AA302" s="261"/>
      <c r="AB302" s="261"/>
      <c r="AC302" s="261"/>
      <c r="AD302" s="261"/>
      <c r="AE302" s="261"/>
      <c r="AF302" s="261"/>
      <c r="AG302" s="261"/>
      <c r="AH302" s="261"/>
      <c r="AI302" s="261"/>
      <c r="AJ302" s="261"/>
      <c r="AK302" s="261"/>
      <c r="AL302" s="261"/>
      <c r="AM302" s="261"/>
      <c r="AN302" s="261"/>
      <c r="AO302" s="261"/>
      <c r="AP302" s="261"/>
      <c r="AQ302" s="261"/>
      <c r="AR302" s="157">
        <v>52.95</v>
      </c>
      <c r="AS302" s="261"/>
      <c r="AT302" s="261"/>
      <c r="AU302" s="261"/>
      <c r="AV302" s="261"/>
      <c r="AW302" s="261"/>
      <c r="AX302" s="261"/>
      <c r="AY302" s="261"/>
      <c r="AZ302" s="261"/>
      <c r="BA302" s="261"/>
      <c r="BB302" s="261"/>
      <c r="BC302" s="261"/>
      <c r="BD302" s="261"/>
      <c r="BE302" s="261"/>
      <c r="BF302" s="261"/>
      <c r="BG302" s="261"/>
      <c r="BH302" s="261"/>
      <c r="BI302" s="261"/>
      <c r="BJ302" s="261"/>
      <c r="BK302" s="261"/>
      <c r="BL302" s="261"/>
      <c r="BM302" s="261"/>
      <c r="BN302" s="261"/>
      <c r="BO302" s="261"/>
      <c r="BP302" s="261"/>
      <c r="BQ302" s="261"/>
      <c r="BR302" s="261"/>
      <c r="BS302" s="261"/>
      <c r="BT302" s="261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</row>
    <row r="303" spans="1:83" s="125" customFormat="1" x14ac:dyDescent="0.25">
      <c r="A303" s="278">
        <v>41334</v>
      </c>
      <c r="B303" s="278"/>
      <c r="C303" s="26" t="s">
        <v>2604</v>
      </c>
      <c r="D303" s="270" t="s">
        <v>60</v>
      </c>
      <c r="E303" s="261"/>
      <c r="F303" s="301"/>
      <c r="G303" s="261"/>
      <c r="H303" s="261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261"/>
      <c r="T303" s="261"/>
      <c r="U303" s="261"/>
      <c r="V303" s="261"/>
      <c r="W303" s="261"/>
      <c r="X303" s="261"/>
      <c r="Y303" s="261"/>
      <c r="Z303" s="261"/>
      <c r="AA303" s="261"/>
      <c r="AB303" s="261"/>
      <c r="AC303" s="261"/>
      <c r="AD303" s="261"/>
      <c r="AE303" s="261"/>
      <c r="AF303" s="261"/>
      <c r="AG303" s="261"/>
      <c r="AH303" s="261"/>
      <c r="AI303" s="261"/>
      <c r="AJ303" s="261"/>
      <c r="AK303" s="261"/>
      <c r="AL303" s="261"/>
      <c r="AM303" s="261"/>
      <c r="AN303" s="261"/>
      <c r="AO303" s="261"/>
      <c r="AP303" s="261"/>
      <c r="AQ303" s="261"/>
      <c r="AR303" s="157">
        <v>14.71</v>
      </c>
      <c r="AS303" s="261"/>
      <c r="AT303" s="261"/>
      <c r="AU303" s="261"/>
      <c r="AV303" s="261"/>
      <c r="AW303" s="261"/>
      <c r="AX303" s="261"/>
      <c r="AY303" s="261"/>
      <c r="AZ303" s="261"/>
      <c r="BA303" s="261"/>
      <c r="BB303" s="261"/>
      <c r="BC303" s="261"/>
      <c r="BD303" s="261"/>
      <c r="BE303" s="261"/>
      <c r="BF303" s="261"/>
      <c r="BG303" s="261"/>
      <c r="BH303" s="261"/>
      <c r="BI303" s="261"/>
      <c r="BJ303" s="261"/>
      <c r="BK303" s="261"/>
      <c r="BL303" s="261"/>
      <c r="BM303" s="261"/>
      <c r="BN303" s="261"/>
      <c r="BO303" s="261"/>
      <c r="BP303" s="261"/>
      <c r="BQ303" s="261"/>
      <c r="BR303" s="261"/>
      <c r="BS303" s="261"/>
      <c r="BT303" s="261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</row>
    <row r="304" spans="1:83" s="125" customFormat="1" x14ac:dyDescent="0.25">
      <c r="A304" s="278">
        <v>41334</v>
      </c>
      <c r="B304" s="278"/>
      <c r="C304" s="26" t="s">
        <v>2605</v>
      </c>
      <c r="D304" s="270" t="s">
        <v>60</v>
      </c>
      <c r="E304" s="261" t="s">
        <v>696</v>
      </c>
      <c r="F304" s="301"/>
      <c r="G304" s="261"/>
      <c r="H304" s="261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261"/>
      <c r="T304" s="261"/>
      <c r="U304" s="261"/>
      <c r="V304" s="261"/>
      <c r="W304" s="261"/>
      <c r="X304" s="261"/>
      <c r="Y304" s="261"/>
      <c r="Z304" s="261"/>
      <c r="AA304" s="261"/>
      <c r="AB304" s="261"/>
      <c r="AC304" s="261"/>
      <c r="AD304" s="261"/>
      <c r="AE304" s="261"/>
      <c r="AF304" s="261"/>
      <c r="AG304" s="261"/>
      <c r="AH304" s="261"/>
      <c r="AI304" s="261"/>
      <c r="AJ304" s="261"/>
      <c r="AK304" s="261"/>
      <c r="AL304" s="261"/>
      <c r="AM304" s="261"/>
      <c r="AN304" s="261"/>
      <c r="AO304" s="261"/>
      <c r="AP304" s="261"/>
      <c r="AQ304" s="261"/>
      <c r="AR304" s="157">
        <v>29.57</v>
      </c>
      <c r="AS304" s="261"/>
      <c r="AT304" s="261"/>
      <c r="AU304" s="261"/>
      <c r="AV304" s="261"/>
      <c r="AW304" s="261"/>
      <c r="AX304" s="261"/>
      <c r="AY304" s="261"/>
      <c r="AZ304" s="261"/>
      <c r="BA304" s="261"/>
      <c r="BB304" s="261"/>
      <c r="BC304" s="261"/>
      <c r="BD304" s="261"/>
      <c r="BE304" s="261"/>
      <c r="BF304" s="261"/>
      <c r="BG304" s="261"/>
      <c r="BH304" s="261"/>
      <c r="BI304" s="261"/>
      <c r="BJ304" s="261"/>
      <c r="BK304" s="261"/>
      <c r="BL304" s="261"/>
      <c r="BM304" s="261"/>
      <c r="BN304" s="261"/>
      <c r="BO304" s="261"/>
      <c r="BP304" s="261"/>
      <c r="BQ304" s="261"/>
      <c r="BR304" s="261"/>
      <c r="BS304" s="261"/>
      <c r="BT304" s="261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</row>
    <row r="305" spans="1:83" s="125" customFormat="1" x14ac:dyDescent="0.25">
      <c r="A305" s="278">
        <v>41334</v>
      </c>
      <c r="B305" s="278"/>
      <c r="C305" s="25" t="s">
        <v>2606</v>
      </c>
      <c r="D305" s="270" t="s">
        <v>60</v>
      </c>
      <c r="E305" s="261"/>
      <c r="F305" s="301"/>
      <c r="G305" s="261"/>
      <c r="H305" s="261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261"/>
      <c r="T305" s="261"/>
      <c r="U305" s="261"/>
      <c r="V305" s="261"/>
      <c r="W305" s="261"/>
      <c r="X305" s="261"/>
      <c r="Y305" s="261"/>
      <c r="Z305" s="261"/>
      <c r="AA305" s="261"/>
      <c r="AB305" s="261"/>
      <c r="AC305" s="261"/>
      <c r="AD305" s="261"/>
      <c r="AE305" s="261"/>
      <c r="AF305" s="261"/>
      <c r="AG305" s="261"/>
      <c r="AH305" s="261"/>
      <c r="AI305" s="261"/>
      <c r="AJ305" s="261"/>
      <c r="AK305" s="261"/>
      <c r="AL305" s="261"/>
      <c r="AM305" s="261"/>
      <c r="AN305" s="261"/>
      <c r="AO305" s="261"/>
      <c r="AP305" s="261"/>
      <c r="AQ305" s="261"/>
      <c r="AR305" s="157">
        <v>43.8</v>
      </c>
      <c r="AS305" s="261"/>
      <c r="AT305" s="261"/>
      <c r="AU305" s="261"/>
      <c r="AV305" s="261"/>
      <c r="AW305" s="261"/>
      <c r="AX305" s="261"/>
      <c r="AY305" s="261"/>
      <c r="AZ305" s="261"/>
      <c r="BA305" s="261"/>
      <c r="BB305" s="261"/>
      <c r="BC305" s="261"/>
      <c r="BD305" s="261"/>
      <c r="BE305" s="261"/>
      <c r="BF305" s="261"/>
      <c r="BG305" s="261"/>
      <c r="BH305" s="261"/>
      <c r="BI305" s="261"/>
      <c r="BJ305" s="261"/>
      <c r="BK305" s="261"/>
      <c r="BL305" s="261"/>
      <c r="BM305" s="261"/>
      <c r="BN305" s="261"/>
      <c r="BO305" s="261"/>
      <c r="BP305" s="261"/>
      <c r="BQ305" s="261"/>
      <c r="BR305" s="261"/>
      <c r="BS305" s="261"/>
      <c r="BT305" s="261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</row>
    <row r="306" spans="1:83" s="125" customFormat="1" x14ac:dyDescent="0.25">
      <c r="A306" s="301" t="s">
        <v>2607</v>
      </c>
      <c r="B306" s="301"/>
      <c r="C306" s="311" t="s">
        <v>2608</v>
      </c>
      <c r="D306" s="270" t="s">
        <v>60</v>
      </c>
      <c r="E306" s="261" t="s">
        <v>696</v>
      </c>
      <c r="F306" s="301"/>
      <c r="G306" s="261"/>
      <c r="H306" s="261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261"/>
      <c r="T306" s="261"/>
      <c r="U306" s="261"/>
      <c r="V306" s="261"/>
      <c r="W306" s="261"/>
      <c r="X306" s="261"/>
      <c r="Y306" s="261"/>
      <c r="Z306" s="261"/>
      <c r="AA306" s="261"/>
      <c r="AB306" s="261"/>
      <c r="AC306" s="261"/>
      <c r="AD306" s="261"/>
      <c r="AE306" s="261"/>
      <c r="AF306" s="261"/>
      <c r="AG306" s="261"/>
      <c r="AH306" s="261"/>
      <c r="AI306" s="261"/>
      <c r="AJ306" s="261"/>
      <c r="AK306" s="261"/>
      <c r="AL306" s="261"/>
      <c r="AM306" s="261"/>
      <c r="AN306" s="261"/>
      <c r="AO306" s="261"/>
      <c r="AP306" s="261"/>
      <c r="AQ306" s="261"/>
      <c r="AR306" s="157">
        <v>109.5</v>
      </c>
      <c r="AS306" s="261"/>
      <c r="AT306" s="261"/>
      <c r="AU306" s="261"/>
      <c r="AV306" s="261"/>
      <c r="AW306" s="261"/>
      <c r="AX306" s="261"/>
      <c r="AY306" s="261"/>
      <c r="AZ306" s="261"/>
      <c r="BA306" s="261"/>
      <c r="BB306" s="261"/>
      <c r="BC306" s="261"/>
      <c r="BD306" s="261"/>
      <c r="BE306" s="261"/>
      <c r="BF306" s="261"/>
      <c r="BG306" s="261"/>
      <c r="BH306" s="261"/>
      <c r="BI306" s="261"/>
      <c r="BJ306" s="261"/>
      <c r="BK306" s="261"/>
      <c r="BL306" s="261"/>
      <c r="BM306" s="261"/>
      <c r="BN306" s="261"/>
      <c r="BO306" s="261"/>
      <c r="BP306" s="261"/>
      <c r="BQ306" s="261"/>
      <c r="BR306" s="261"/>
      <c r="BS306" s="261"/>
      <c r="BT306" s="261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</row>
    <row r="307" spans="1:83" s="125" customFormat="1" x14ac:dyDescent="0.25">
      <c r="A307" s="301" t="s">
        <v>2607</v>
      </c>
      <c r="B307" s="301"/>
      <c r="C307" s="311" t="s">
        <v>2609</v>
      </c>
      <c r="D307" s="270" t="s">
        <v>60</v>
      </c>
      <c r="E307" s="261" t="s">
        <v>696</v>
      </c>
      <c r="F307" s="301"/>
      <c r="G307" s="261"/>
      <c r="H307" s="261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261"/>
      <c r="T307" s="261"/>
      <c r="U307" s="261"/>
      <c r="V307" s="261"/>
      <c r="W307" s="261"/>
      <c r="X307" s="261"/>
      <c r="Y307" s="261"/>
      <c r="Z307" s="261"/>
      <c r="AA307" s="261"/>
      <c r="AB307" s="261"/>
      <c r="AC307" s="261"/>
      <c r="AD307" s="261"/>
      <c r="AE307" s="261"/>
      <c r="AF307" s="261"/>
      <c r="AG307" s="261"/>
      <c r="AH307" s="261"/>
      <c r="AI307" s="261"/>
      <c r="AJ307" s="261"/>
      <c r="AK307" s="261"/>
      <c r="AL307" s="261"/>
      <c r="AM307" s="261"/>
      <c r="AN307" s="261"/>
      <c r="AO307" s="261"/>
      <c r="AP307" s="261"/>
      <c r="AQ307" s="261"/>
      <c r="AR307" s="157">
        <v>48.26</v>
      </c>
      <c r="AS307" s="261"/>
      <c r="AT307" s="261"/>
      <c r="AU307" s="261"/>
      <c r="AV307" s="261"/>
      <c r="AW307" s="261"/>
      <c r="AX307" s="261"/>
      <c r="AY307" s="261"/>
      <c r="AZ307" s="261"/>
      <c r="BA307" s="261"/>
      <c r="BB307" s="261"/>
      <c r="BC307" s="261"/>
      <c r="BD307" s="261"/>
      <c r="BE307" s="261"/>
      <c r="BF307" s="261"/>
      <c r="BG307" s="261"/>
      <c r="BH307" s="261"/>
      <c r="BI307" s="261"/>
      <c r="BJ307" s="261"/>
      <c r="BK307" s="261"/>
      <c r="BL307" s="261"/>
      <c r="BM307" s="261"/>
      <c r="BN307" s="261"/>
      <c r="BO307" s="261"/>
      <c r="BP307" s="261"/>
      <c r="BQ307" s="261"/>
      <c r="BR307" s="261"/>
      <c r="BS307" s="261"/>
      <c r="BT307" s="261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</row>
    <row r="308" spans="1:83" s="125" customFormat="1" x14ac:dyDescent="0.25">
      <c r="A308" s="301" t="s">
        <v>2607</v>
      </c>
      <c r="B308" s="301"/>
      <c r="C308" s="262" t="s">
        <v>2610</v>
      </c>
      <c r="D308" s="270" t="s">
        <v>60</v>
      </c>
      <c r="E308" s="261" t="s">
        <v>696</v>
      </c>
      <c r="F308" s="301"/>
      <c r="G308" s="261"/>
      <c r="H308" s="261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261"/>
      <c r="T308" s="261"/>
      <c r="U308" s="261"/>
      <c r="V308" s="261"/>
      <c r="W308" s="261"/>
      <c r="X308" s="261"/>
      <c r="Y308" s="261"/>
      <c r="Z308" s="261"/>
      <c r="AA308" s="261"/>
      <c r="AB308" s="261"/>
      <c r="AC308" s="261"/>
      <c r="AD308" s="261"/>
      <c r="AE308" s="261"/>
      <c r="AF308" s="261"/>
      <c r="AG308" s="261"/>
      <c r="AH308" s="261"/>
      <c r="AI308" s="261"/>
      <c r="AJ308" s="261"/>
      <c r="AK308" s="261"/>
      <c r="AL308" s="261"/>
      <c r="AM308" s="261"/>
      <c r="AN308" s="261"/>
      <c r="AO308" s="261"/>
      <c r="AP308" s="261"/>
      <c r="AQ308" s="261"/>
      <c r="AR308" s="157">
        <v>91.12</v>
      </c>
      <c r="AS308" s="261"/>
      <c r="AT308" s="261"/>
      <c r="AU308" s="261"/>
      <c r="AV308" s="261"/>
      <c r="AW308" s="261"/>
      <c r="AX308" s="261"/>
      <c r="AY308" s="261"/>
      <c r="AZ308" s="261"/>
      <c r="BA308" s="261"/>
      <c r="BB308" s="261"/>
      <c r="BC308" s="261"/>
      <c r="BD308" s="261"/>
      <c r="BE308" s="261"/>
      <c r="BF308" s="261"/>
      <c r="BG308" s="261"/>
      <c r="BH308" s="261"/>
      <c r="BI308" s="261"/>
      <c r="BJ308" s="261"/>
      <c r="BK308" s="261"/>
      <c r="BL308" s="261"/>
      <c r="BM308" s="261"/>
      <c r="BN308" s="261"/>
      <c r="BO308" s="261"/>
      <c r="BP308" s="261"/>
      <c r="BQ308" s="261"/>
      <c r="BR308" s="261"/>
      <c r="BS308" s="261"/>
      <c r="BT308" s="261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</row>
    <row r="309" spans="1:83" s="125" customFormat="1" x14ac:dyDescent="0.25">
      <c r="A309" s="301" t="s">
        <v>2607</v>
      </c>
      <c r="B309" s="301"/>
      <c r="C309" s="262" t="s">
        <v>2611</v>
      </c>
      <c r="D309" s="270" t="s">
        <v>60</v>
      </c>
      <c r="E309" s="261" t="s">
        <v>696</v>
      </c>
      <c r="F309" s="301"/>
      <c r="G309" s="261"/>
      <c r="H309" s="261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261"/>
      <c r="T309" s="261"/>
      <c r="U309" s="261"/>
      <c r="V309" s="261"/>
      <c r="W309" s="261"/>
      <c r="X309" s="261"/>
      <c r="Y309" s="261"/>
      <c r="Z309" s="261"/>
      <c r="AA309" s="261"/>
      <c r="AB309" s="261"/>
      <c r="AC309" s="261"/>
      <c r="AD309" s="261"/>
      <c r="AE309" s="261"/>
      <c r="AF309" s="261"/>
      <c r="AG309" s="261"/>
      <c r="AH309" s="261"/>
      <c r="AI309" s="261"/>
      <c r="AJ309" s="261"/>
      <c r="AK309" s="261"/>
      <c r="AL309" s="261"/>
      <c r="AM309" s="261"/>
      <c r="AN309" s="261"/>
      <c r="AO309" s="261"/>
      <c r="AP309" s="261"/>
      <c r="AQ309" s="261"/>
      <c r="AR309" s="157">
        <v>66.39</v>
      </c>
      <c r="AS309" s="261"/>
      <c r="AT309" s="261"/>
      <c r="AU309" s="261"/>
      <c r="AV309" s="261"/>
      <c r="AW309" s="261"/>
      <c r="AX309" s="261"/>
      <c r="AY309" s="261"/>
      <c r="AZ309" s="261"/>
      <c r="BA309" s="261"/>
      <c r="BB309" s="261"/>
      <c r="BC309" s="261"/>
      <c r="BD309" s="261"/>
      <c r="BE309" s="261"/>
      <c r="BF309" s="261"/>
      <c r="BG309" s="261"/>
      <c r="BH309" s="261"/>
      <c r="BI309" s="261"/>
      <c r="BJ309" s="261"/>
      <c r="BK309" s="261"/>
      <c r="BL309" s="261"/>
      <c r="BM309" s="261"/>
      <c r="BN309" s="261"/>
      <c r="BO309" s="261"/>
      <c r="BP309" s="261"/>
      <c r="BQ309" s="261"/>
      <c r="BR309" s="261"/>
      <c r="BS309" s="261"/>
      <c r="BT309" s="261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</row>
    <row r="310" spans="1:83" s="125" customFormat="1" x14ac:dyDescent="0.25">
      <c r="A310" s="301" t="s">
        <v>2607</v>
      </c>
      <c r="B310" s="301"/>
      <c r="C310" s="311" t="s">
        <v>2612</v>
      </c>
      <c r="D310" s="270" t="s">
        <v>60</v>
      </c>
      <c r="E310" s="261" t="s">
        <v>65</v>
      </c>
      <c r="F310" s="301"/>
      <c r="G310" s="261"/>
      <c r="H310" s="261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261"/>
      <c r="T310" s="261"/>
      <c r="U310" s="261"/>
      <c r="V310" s="261"/>
      <c r="W310" s="261"/>
      <c r="X310" s="261"/>
      <c r="Y310" s="261"/>
      <c r="Z310" s="261"/>
      <c r="AA310" s="261"/>
      <c r="AB310" s="261"/>
      <c r="AC310" s="261"/>
      <c r="AD310" s="261"/>
      <c r="AE310" s="261"/>
      <c r="AF310" s="261"/>
      <c r="AG310" s="261"/>
      <c r="AH310" s="261"/>
      <c r="AI310" s="261"/>
      <c r="AJ310" s="261"/>
      <c r="AK310" s="261"/>
      <c r="AL310" s="261"/>
      <c r="AM310" s="261"/>
      <c r="AN310" s="261"/>
      <c r="AO310" s="261"/>
      <c r="AP310" s="261"/>
      <c r="AQ310" s="261"/>
      <c r="AR310" s="157">
        <v>31.38</v>
      </c>
      <c r="AS310" s="261"/>
      <c r="AT310" s="261"/>
      <c r="AU310" s="261"/>
      <c r="AV310" s="261"/>
      <c r="AW310" s="261"/>
      <c r="AX310" s="261"/>
      <c r="AY310" s="261"/>
      <c r="AZ310" s="261"/>
      <c r="BA310" s="261"/>
      <c r="BB310" s="261"/>
      <c r="BC310" s="261"/>
      <c r="BD310" s="261"/>
      <c r="BE310" s="261"/>
      <c r="BF310" s="261"/>
      <c r="BG310" s="261"/>
      <c r="BH310" s="261"/>
      <c r="BI310" s="261"/>
      <c r="BJ310" s="261"/>
      <c r="BK310" s="261"/>
      <c r="BL310" s="261"/>
      <c r="BM310" s="261"/>
      <c r="BN310" s="261"/>
      <c r="BO310" s="261"/>
      <c r="BP310" s="261"/>
      <c r="BQ310" s="261"/>
      <c r="BR310" s="261"/>
      <c r="BS310" s="261"/>
      <c r="BT310" s="261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</row>
    <row r="311" spans="1:83" s="125" customFormat="1" x14ac:dyDescent="0.25">
      <c r="A311" s="301" t="s">
        <v>2607</v>
      </c>
      <c r="B311" s="301"/>
      <c r="C311" s="265" t="s">
        <v>2613</v>
      </c>
      <c r="D311" s="270" t="s">
        <v>60</v>
      </c>
      <c r="E311" s="261" t="s">
        <v>65</v>
      </c>
      <c r="F311" s="301"/>
      <c r="G311" s="261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261"/>
      <c r="T311" s="261"/>
      <c r="U311" s="261"/>
      <c r="V311" s="261"/>
      <c r="W311" s="261"/>
      <c r="X311" s="261"/>
      <c r="Y311" s="261"/>
      <c r="Z311" s="261"/>
      <c r="AA311" s="261"/>
      <c r="AB311" s="261"/>
      <c r="AC311" s="261"/>
      <c r="AD311" s="261"/>
      <c r="AE311" s="261"/>
      <c r="AF311" s="261"/>
      <c r="AG311" s="261"/>
      <c r="AH311" s="261"/>
      <c r="AI311" s="261"/>
      <c r="AJ311" s="261"/>
      <c r="AK311" s="261"/>
      <c r="AL311" s="261"/>
      <c r="AM311" s="261"/>
      <c r="AN311" s="261"/>
      <c r="AO311" s="261"/>
      <c r="AP311" s="261"/>
      <c r="AQ311" s="261"/>
      <c r="AR311" s="157">
        <v>41.94</v>
      </c>
      <c r="AS311" s="261"/>
      <c r="AT311" s="261"/>
      <c r="AU311" s="261"/>
      <c r="AV311" s="261"/>
      <c r="AW311" s="261"/>
      <c r="AX311" s="261"/>
      <c r="AY311" s="261"/>
      <c r="AZ311" s="261"/>
      <c r="BA311" s="261"/>
      <c r="BB311" s="261"/>
      <c r="BC311" s="261"/>
      <c r="BD311" s="261"/>
      <c r="BE311" s="261"/>
      <c r="BF311" s="261"/>
      <c r="BG311" s="261"/>
      <c r="BH311" s="261"/>
      <c r="BI311" s="261"/>
      <c r="BJ311" s="261"/>
      <c r="BK311" s="261"/>
      <c r="BL311" s="261"/>
      <c r="BM311" s="261"/>
      <c r="BN311" s="261"/>
      <c r="BO311" s="261"/>
      <c r="BP311" s="261"/>
      <c r="BQ311" s="261"/>
      <c r="BR311" s="261"/>
      <c r="BS311" s="261"/>
      <c r="BT311" s="261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</row>
    <row r="312" spans="1:83" s="125" customFormat="1" x14ac:dyDescent="0.25">
      <c r="A312" s="301" t="s">
        <v>2607</v>
      </c>
      <c r="B312" s="301"/>
      <c r="C312" s="262" t="s">
        <v>2614</v>
      </c>
      <c r="D312" s="270" t="s">
        <v>60</v>
      </c>
      <c r="E312" s="261" t="s">
        <v>65</v>
      </c>
      <c r="F312" s="301"/>
      <c r="G312" s="261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/>
      <c r="T312" s="261"/>
      <c r="U312" s="261"/>
      <c r="V312" s="261"/>
      <c r="W312" s="261"/>
      <c r="X312" s="261"/>
      <c r="Y312" s="261"/>
      <c r="Z312" s="261"/>
      <c r="AA312" s="261"/>
      <c r="AB312" s="261"/>
      <c r="AC312" s="261"/>
      <c r="AD312" s="261"/>
      <c r="AE312" s="261"/>
      <c r="AF312" s="261"/>
      <c r="AG312" s="261"/>
      <c r="AH312" s="261"/>
      <c r="AI312" s="261"/>
      <c r="AJ312" s="261"/>
      <c r="AK312" s="261"/>
      <c r="AL312" s="261"/>
      <c r="AM312" s="261"/>
      <c r="AN312" s="261"/>
      <c r="AO312" s="261"/>
      <c r="AP312" s="261"/>
      <c r="AQ312" s="261"/>
      <c r="AR312" s="157">
        <v>55.1</v>
      </c>
      <c r="AS312" s="261"/>
      <c r="AT312" s="261"/>
      <c r="AU312" s="261"/>
      <c r="AV312" s="261"/>
      <c r="AW312" s="261"/>
      <c r="AX312" s="261"/>
      <c r="AY312" s="261"/>
      <c r="AZ312" s="261"/>
      <c r="BA312" s="261"/>
      <c r="BB312" s="261"/>
      <c r="BC312" s="261"/>
      <c r="BD312" s="261"/>
      <c r="BE312" s="261"/>
      <c r="BF312" s="261"/>
      <c r="BG312" s="261"/>
      <c r="BH312" s="261"/>
      <c r="BI312" s="261"/>
      <c r="BJ312" s="261"/>
      <c r="BK312" s="261"/>
      <c r="BL312" s="261"/>
      <c r="BM312" s="261"/>
      <c r="BN312" s="261"/>
      <c r="BO312" s="261"/>
      <c r="BP312" s="261"/>
      <c r="BQ312" s="261"/>
      <c r="BR312" s="261"/>
      <c r="BS312" s="261"/>
      <c r="BT312" s="261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</row>
    <row r="313" spans="1:83" s="125" customFormat="1" x14ac:dyDescent="0.25">
      <c r="A313" s="301" t="s">
        <v>2607</v>
      </c>
      <c r="B313" s="301"/>
      <c r="C313" s="262" t="s">
        <v>2615</v>
      </c>
      <c r="D313" s="270" t="s">
        <v>60</v>
      </c>
      <c r="E313" s="261" t="s">
        <v>65</v>
      </c>
      <c r="F313" s="301"/>
      <c r="G313" s="261"/>
      <c r="H313" s="261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261"/>
      <c r="T313" s="261"/>
      <c r="U313" s="261"/>
      <c r="V313" s="261"/>
      <c r="W313" s="261"/>
      <c r="X313" s="261"/>
      <c r="Y313" s="261"/>
      <c r="Z313" s="261"/>
      <c r="AA313" s="261"/>
      <c r="AB313" s="261"/>
      <c r="AC313" s="261"/>
      <c r="AD313" s="261"/>
      <c r="AE313" s="261"/>
      <c r="AF313" s="261"/>
      <c r="AG313" s="261"/>
      <c r="AH313" s="261"/>
      <c r="AI313" s="261"/>
      <c r="AJ313" s="261"/>
      <c r="AK313" s="261"/>
      <c r="AL313" s="261"/>
      <c r="AM313" s="261"/>
      <c r="AN313" s="261"/>
      <c r="AO313" s="261"/>
      <c r="AP313" s="261"/>
      <c r="AQ313" s="261"/>
      <c r="AR313" s="157">
        <v>27.84</v>
      </c>
      <c r="AS313" s="261"/>
      <c r="AT313" s="261"/>
      <c r="AU313" s="261"/>
      <c r="AV313" s="261"/>
      <c r="AW313" s="261"/>
      <c r="AX313" s="261"/>
      <c r="AY313" s="261"/>
      <c r="AZ313" s="261"/>
      <c r="BA313" s="261"/>
      <c r="BB313" s="261"/>
      <c r="BC313" s="261"/>
      <c r="BD313" s="261"/>
      <c r="BE313" s="261"/>
      <c r="BF313" s="261"/>
      <c r="BG313" s="261"/>
      <c r="BH313" s="261"/>
      <c r="BI313" s="261"/>
      <c r="BJ313" s="261"/>
      <c r="BK313" s="261"/>
      <c r="BL313" s="261"/>
      <c r="BM313" s="261"/>
      <c r="BN313" s="261"/>
      <c r="BO313" s="261"/>
      <c r="BP313" s="261"/>
      <c r="BQ313" s="261"/>
      <c r="BR313" s="261"/>
      <c r="BS313" s="261"/>
      <c r="BT313" s="261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</row>
    <row r="314" spans="1:83" s="125" customFormat="1" x14ac:dyDescent="0.25">
      <c r="A314" s="301" t="s">
        <v>2607</v>
      </c>
      <c r="B314" s="301"/>
      <c r="C314" s="262" t="s">
        <v>2616</v>
      </c>
      <c r="D314" s="270" t="s">
        <v>60</v>
      </c>
      <c r="E314" s="261" t="s">
        <v>65</v>
      </c>
      <c r="F314" s="301"/>
      <c r="G314" s="261"/>
      <c r="H314" s="261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261"/>
      <c r="T314" s="261"/>
      <c r="U314" s="261"/>
      <c r="V314" s="261"/>
      <c r="W314" s="261"/>
      <c r="X314" s="261"/>
      <c r="Y314" s="261"/>
      <c r="Z314" s="261"/>
      <c r="AA314" s="261"/>
      <c r="AB314" s="261"/>
      <c r="AC314" s="261"/>
      <c r="AD314" s="261"/>
      <c r="AE314" s="261"/>
      <c r="AF314" s="261"/>
      <c r="AG314" s="261"/>
      <c r="AH314" s="261"/>
      <c r="AI314" s="261"/>
      <c r="AJ314" s="261"/>
      <c r="AK314" s="261"/>
      <c r="AL314" s="261"/>
      <c r="AM314" s="261"/>
      <c r="AN314" s="261"/>
      <c r="AO314" s="261"/>
      <c r="AP314" s="261"/>
      <c r="AQ314" s="261"/>
      <c r="AR314" s="157">
        <v>40.369999999999997</v>
      </c>
      <c r="AS314" s="261"/>
      <c r="AT314" s="261"/>
      <c r="AU314" s="261"/>
      <c r="AV314" s="261"/>
      <c r="AW314" s="261"/>
      <c r="AX314" s="261"/>
      <c r="AY314" s="261"/>
      <c r="AZ314" s="261"/>
      <c r="BA314" s="261"/>
      <c r="BB314" s="261"/>
      <c r="BC314" s="261"/>
      <c r="BD314" s="261"/>
      <c r="BE314" s="261"/>
      <c r="BF314" s="261"/>
      <c r="BG314" s="261"/>
      <c r="BH314" s="261"/>
      <c r="BI314" s="261"/>
      <c r="BJ314" s="261"/>
      <c r="BK314" s="261"/>
      <c r="BL314" s="261"/>
      <c r="BM314" s="261"/>
      <c r="BN314" s="261"/>
      <c r="BO314" s="261"/>
      <c r="BP314" s="261"/>
      <c r="BQ314" s="261"/>
      <c r="BR314" s="261"/>
      <c r="BS314" s="261"/>
      <c r="BT314" s="261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</row>
    <row r="315" spans="1:83" s="125" customFormat="1" x14ac:dyDescent="0.25">
      <c r="A315" s="301" t="s">
        <v>2607</v>
      </c>
      <c r="B315" s="301"/>
      <c r="C315" s="262" t="s">
        <v>2617</v>
      </c>
      <c r="D315" s="270" t="s">
        <v>60</v>
      </c>
      <c r="E315" s="261" t="s">
        <v>65</v>
      </c>
      <c r="F315" s="301"/>
      <c r="G315" s="261"/>
      <c r="H315" s="261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261"/>
      <c r="T315" s="261"/>
      <c r="U315" s="261"/>
      <c r="V315" s="261"/>
      <c r="W315" s="261"/>
      <c r="X315" s="261"/>
      <c r="Y315" s="261"/>
      <c r="Z315" s="261"/>
      <c r="AA315" s="261"/>
      <c r="AB315" s="261"/>
      <c r="AC315" s="261"/>
      <c r="AD315" s="261"/>
      <c r="AE315" s="261"/>
      <c r="AF315" s="261"/>
      <c r="AG315" s="261"/>
      <c r="AH315" s="261"/>
      <c r="AI315" s="261"/>
      <c r="AJ315" s="261"/>
      <c r="AK315" s="261"/>
      <c r="AL315" s="261"/>
      <c r="AM315" s="261"/>
      <c r="AN315" s="261"/>
      <c r="AO315" s="261"/>
      <c r="AP315" s="261"/>
      <c r="AQ315" s="261"/>
      <c r="AR315" s="157">
        <v>49.43</v>
      </c>
      <c r="AS315" s="261"/>
      <c r="AT315" s="261"/>
      <c r="AU315" s="261"/>
      <c r="AV315" s="261"/>
      <c r="AW315" s="261"/>
      <c r="AX315" s="261"/>
      <c r="AY315" s="261"/>
      <c r="AZ315" s="261"/>
      <c r="BA315" s="261"/>
      <c r="BB315" s="261"/>
      <c r="BC315" s="261"/>
      <c r="BD315" s="261"/>
      <c r="BE315" s="261"/>
      <c r="BF315" s="261"/>
      <c r="BG315" s="261"/>
      <c r="BH315" s="261"/>
      <c r="BI315" s="261"/>
      <c r="BJ315" s="261"/>
      <c r="BK315" s="261"/>
      <c r="BL315" s="261"/>
      <c r="BM315" s="261"/>
      <c r="BN315" s="261"/>
      <c r="BO315" s="261"/>
      <c r="BP315" s="261"/>
      <c r="BQ315" s="261"/>
      <c r="BR315" s="261"/>
      <c r="BS315" s="261"/>
      <c r="BT315" s="261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</row>
    <row r="316" spans="1:83" s="125" customFormat="1" x14ac:dyDescent="0.25">
      <c r="A316" s="301" t="s">
        <v>2607</v>
      </c>
      <c r="B316" s="301"/>
      <c r="C316" s="310" t="s">
        <v>2618</v>
      </c>
      <c r="D316" s="270" t="s">
        <v>60</v>
      </c>
      <c r="E316" s="261" t="s">
        <v>65</v>
      </c>
      <c r="F316" s="301"/>
      <c r="G316" s="261"/>
      <c r="H316" s="261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261"/>
      <c r="T316" s="261"/>
      <c r="U316" s="261"/>
      <c r="V316" s="261"/>
      <c r="W316" s="261"/>
      <c r="X316" s="261"/>
      <c r="Y316" s="261"/>
      <c r="Z316" s="261"/>
      <c r="AA316" s="261"/>
      <c r="AB316" s="261"/>
      <c r="AC316" s="261"/>
      <c r="AD316" s="261"/>
      <c r="AE316" s="261"/>
      <c r="AF316" s="261"/>
      <c r="AG316" s="261"/>
      <c r="AH316" s="261"/>
      <c r="AI316" s="261"/>
      <c r="AJ316" s="261"/>
      <c r="AK316" s="261"/>
      <c r="AL316" s="261"/>
      <c r="AM316" s="261"/>
      <c r="AN316" s="261"/>
      <c r="AO316" s="261"/>
      <c r="AP316" s="261"/>
      <c r="AQ316" s="261"/>
      <c r="AR316" s="157">
        <v>35.75</v>
      </c>
      <c r="AS316" s="261"/>
      <c r="AT316" s="261"/>
      <c r="AU316" s="261"/>
      <c r="AV316" s="261"/>
      <c r="AW316" s="261"/>
      <c r="AX316" s="261"/>
      <c r="AY316" s="261"/>
      <c r="AZ316" s="261"/>
      <c r="BA316" s="261"/>
      <c r="BB316" s="261"/>
      <c r="BC316" s="261"/>
      <c r="BD316" s="261"/>
      <c r="BE316" s="261"/>
      <c r="BF316" s="261"/>
      <c r="BG316" s="261"/>
      <c r="BH316" s="261"/>
      <c r="BI316" s="261"/>
      <c r="BJ316" s="261"/>
      <c r="BK316" s="261"/>
      <c r="BL316" s="261"/>
      <c r="BM316" s="261"/>
      <c r="BN316" s="261"/>
      <c r="BO316" s="261"/>
      <c r="BP316" s="261"/>
      <c r="BQ316" s="261"/>
      <c r="BR316" s="261"/>
      <c r="BS316" s="261"/>
      <c r="BT316" s="261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</row>
    <row r="317" spans="1:83" s="125" customFormat="1" x14ac:dyDescent="0.25">
      <c r="A317" s="301" t="s">
        <v>2607</v>
      </c>
      <c r="B317" s="301"/>
      <c r="C317" s="310" t="s">
        <v>2619</v>
      </c>
      <c r="D317" s="270" t="s">
        <v>60</v>
      </c>
      <c r="E317" s="261" t="s">
        <v>65</v>
      </c>
      <c r="F317" s="301"/>
      <c r="G317" s="261"/>
      <c r="H317" s="261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261"/>
      <c r="T317" s="261"/>
      <c r="U317" s="261"/>
      <c r="V317" s="261"/>
      <c r="W317" s="261"/>
      <c r="X317" s="261"/>
      <c r="Y317" s="261"/>
      <c r="Z317" s="261"/>
      <c r="AA317" s="261"/>
      <c r="AB317" s="261"/>
      <c r="AC317" s="261"/>
      <c r="AD317" s="261"/>
      <c r="AE317" s="261"/>
      <c r="AF317" s="261"/>
      <c r="AG317" s="261"/>
      <c r="AH317" s="261"/>
      <c r="AI317" s="261"/>
      <c r="AJ317" s="261"/>
      <c r="AK317" s="261"/>
      <c r="AL317" s="261"/>
      <c r="AM317" s="261"/>
      <c r="AN317" s="261"/>
      <c r="AO317" s="261"/>
      <c r="AP317" s="261"/>
      <c r="AQ317" s="261"/>
      <c r="AR317" s="157">
        <v>35.83</v>
      </c>
      <c r="AS317" s="261"/>
      <c r="AT317" s="261"/>
      <c r="AU317" s="261"/>
      <c r="AV317" s="261"/>
      <c r="AW317" s="261"/>
      <c r="AX317" s="261"/>
      <c r="AY317" s="261"/>
      <c r="AZ317" s="261"/>
      <c r="BA317" s="261"/>
      <c r="BB317" s="261"/>
      <c r="BC317" s="261"/>
      <c r="BD317" s="261"/>
      <c r="BE317" s="261"/>
      <c r="BF317" s="261"/>
      <c r="BG317" s="261"/>
      <c r="BH317" s="261"/>
      <c r="BI317" s="261"/>
      <c r="BJ317" s="261"/>
      <c r="BK317" s="261"/>
      <c r="BL317" s="261"/>
      <c r="BM317" s="261"/>
      <c r="BN317" s="261"/>
      <c r="BO317" s="261"/>
      <c r="BP317" s="261"/>
      <c r="BQ317" s="261"/>
      <c r="BR317" s="261"/>
      <c r="BS317" s="261"/>
      <c r="BT317" s="261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</row>
    <row r="318" spans="1:83" s="125" customFormat="1" x14ac:dyDescent="0.25">
      <c r="A318" s="301" t="s">
        <v>2607</v>
      </c>
      <c r="B318" s="301"/>
      <c r="C318" s="265" t="s">
        <v>1764</v>
      </c>
      <c r="D318" s="270" t="s">
        <v>60</v>
      </c>
      <c r="E318" s="261" t="s">
        <v>2620</v>
      </c>
      <c r="F318" s="301"/>
      <c r="G318" s="261"/>
      <c r="H318" s="261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261"/>
      <c r="T318" s="261"/>
      <c r="U318" s="261"/>
      <c r="V318" s="261"/>
      <c r="W318" s="261"/>
      <c r="X318" s="261"/>
      <c r="Y318" s="261"/>
      <c r="Z318" s="261"/>
      <c r="AA318" s="261"/>
      <c r="AB318" s="261"/>
      <c r="AC318" s="261"/>
      <c r="AD318" s="261"/>
      <c r="AE318" s="261"/>
      <c r="AF318" s="261"/>
      <c r="AG318" s="261"/>
      <c r="AH318" s="261"/>
      <c r="AI318" s="261"/>
      <c r="AJ318" s="261"/>
      <c r="AK318" s="261"/>
      <c r="AL318" s="261"/>
      <c r="AM318" s="261"/>
      <c r="AN318" s="261"/>
      <c r="AO318" s="261"/>
      <c r="AP318" s="261"/>
      <c r="AQ318" s="261"/>
      <c r="AR318" s="157">
        <v>89.43</v>
      </c>
      <c r="AS318" s="261"/>
      <c r="AT318" s="261"/>
      <c r="AU318" s="261"/>
      <c r="AV318" s="261"/>
      <c r="AW318" s="261"/>
      <c r="AX318" s="261"/>
      <c r="AY318" s="261"/>
      <c r="AZ318" s="261"/>
      <c r="BA318" s="261"/>
      <c r="BB318" s="261"/>
      <c r="BC318" s="261"/>
      <c r="BD318" s="261"/>
      <c r="BE318" s="261"/>
      <c r="BF318" s="261"/>
      <c r="BG318" s="261"/>
      <c r="BH318" s="261"/>
      <c r="BI318" s="261"/>
      <c r="BJ318" s="261"/>
      <c r="BK318" s="261"/>
      <c r="BL318" s="261"/>
      <c r="BM318" s="261"/>
      <c r="BN318" s="261"/>
      <c r="BO318" s="261"/>
      <c r="BP318" s="261"/>
      <c r="BQ318" s="261"/>
      <c r="BR318" s="261"/>
      <c r="BS318" s="261"/>
      <c r="BT318" s="261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</row>
    <row r="319" spans="1:83" s="125" customFormat="1" x14ac:dyDescent="0.25">
      <c r="A319" s="301" t="s">
        <v>2607</v>
      </c>
      <c r="B319" s="301"/>
      <c r="C319" s="310" t="s">
        <v>2621</v>
      </c>
      <c r="D319" s="270" t="s">
        <v>60</v>
      </c>
      <c r="E319" s="261" t="s">
        <v>2620</v>
      </c>
      <c r="F319" s="301"/>
      <c r="G319" s="261"/>
      <c r="H319" s="261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261"/>
      <c r="T319" s="261"/>
      <c r="U319" s="261"/>
      <c r="V319" s="261"/>
      <c r="W319" s="261"/>
      <c r="X319" s="261"/>
      <c r="Y319" s="261"/>
      <c r="Z319" s="261"/>
      <c r="AA319" s="261"/>
      <c r="AB319" s="261"/>
      <c r="AC319" s="261"/>
      <c r="AD319" s="261"/>
      <c r="AE319" s="261"/>
      <c r="AF319" s="261"/>
      <c r="AG319" s="261"/>
      <c r="AH319" s="261"/>
      <c r="AI319" s="261"/>
      <c r="AJ319" s="261"/>
      <c r="AK319" s="261"/>
      <c r="AL319" s="261"/>
      <c r="AM319" s="261"/>
      <c r="AN319" s="261"/>
      <c r="AO319" s="261"/>
      <c r="AP319" s="261"/>
      <c r="AQ319" s="261"/>
      <c r="AR319" s="157">
        <v>29.67</v>
      </c>
      <c r="AS319" s="261"/>
      <c r="AT319" s="261"/>
      <c r="AU319" s="261"/>
      <c r="AV319" s="261"/>
      <c r="AW319" s="261"/>
      <c r="AX319" s="261"/>
      <c r="AY319" s="261"/>
      <c r="AZ319" s="261"/>
      <c r="BA319" s="261"/>
      <c r="BB319" s="261"/>
      <c r="BC319" s="261"/>
      <c r="BD319" s="261"/>
      <c r="BE319" s="261"/>
      <c r="BF319" s="261"/>
      <c r="BG319" s="261"/>
      <c r="BH319" s="261"/>
      <c r="BI319" s="261"/>
      <c r="BJ319" s="261"/>
      <c r="BK319" s="261"/>
      <c r="BL319" s="261"/>
      <c r="BM319" s="261"/>
      <c r="BN319" s="261"/>
      <c r="BO319" s="261"/>
      <c r="BP319" s="261"/>
      <c r="BQ319" s="261"/>
      <c r="BR319" s="261"/>
      <c r="BS319" s="261"/>
      <c r="BT319" s="261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</row>
    <row r="320" spans="1:83" s="125" customFormat="1" x14ac:dyDescent="0.25">
      <c r="A320" s="301" t="s">
        <v>2607</v>
      </c>
      <c r="B320" s="301"/>
      <c r="C320" s="310" t="s">
        <v>2622</v>
      </c>
      <c r="D320" s="270" t="s">
        <v>60</v>
      </c>
      <c r="E320" s="261" t="s">
        <v>2620</v>
      </c>
      <c r="F320" s="301"/>
      <c r="G320" s="261"/>
      <c r="H320" s="261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261"/>
      <c r="T320" s="261"/>
      <c r="U320" s="261"/>
      <c r="V320" s="261"/>
      <c r="W320" s="261"/>
      <c r="X320" s="261"/>
      <c r="Y320" s="261"/>
      <c r="Z320" s="261"/>
      <c r="AA320" s="261"/>
      <c r="AB320" s="261"/>
      <c r="AC320" s="261"/>
      <c r="AD320" s="261"/>
      <c r="AE320" s="261"/>
      <c r="AF320" s="261"/>
      <c r="AG320" s="261"/>
      <c r="AH320" s="261"/>
      <c r="AI320" s="261"/>
      <c r="AJ320" s="261"/>
      <c r="AK320" s="261"/>
      <c r="AL320" s="261"/>
      <c r="AM320" s="261"/>
      <c r="AN320" s="261"/>
      <c r="AO320" s="261"/>
      <c r="AP320" s="261"/>
      <c r="AQ320" s="261"/>
      <c r="AR320" s="157">
        <v>71.72</v>
      </c>
      <c r="AS320" s="261"/>
      <c r="AT320" s="261"/>
      <c r="AU320" s="261"/>
      <c r="AV320" s="261"/>
      <c r="AW320" s="261"/>
      <c r="AX320" s="261"/>
      <c r="AY320" s="261"/>
      <c r="AZ320" s="261"/>
      <c r="BA320" s="261"/>
      <c r="BB320" s="261"/>
      <c r="BC320" s="261"/>
      <c r="BD320" s="261"/>
      <c r="BE320" s="261"/>
      <c r="BF320" s="261"/>
      <c r="BG320" s="261"/>
      <c r="BH320" s="261"/>
      <c r="BI320" s="261"/>
      <c r="BJ320" s="261"/>
      <c r="BK320" s="261"/>
      <c r="BL320" s="261"/>
      <c r="BM320" s="261"/>
      <c r="BN320" s="261"/>
      <c r="BO320" s="261"/>
      <c r="BP320" s="261"/>
      <c r="BQ320" s="261"/>
      <c r="BR320" s="261"/>
      <c r="BS320" s="261"/>
      <c r="BT320" s="261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</row>
    <row r="321" spans="1:83" s="125" customFormat="1" x14ac:dyDescent="0.25">
      <c r="A321" s="301" t="s">
        <v>2607</v>
      </c>
      <c r="B321" s="301"/>
      <c r="C321" s="262" t="s">
        <v>2623</v>
      </c>
      <c r="D321" s="270" t="s">
        <v>60</v>
      </c>
      <c r="E321" s="261" t="s">
        <v>2624</v>
      </c>
      <c r="F321" s="301"/>
      <c r="G321" s="261"/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261"/>
      <c r="T321" s="261"/>
      <c r="U321" s="261"/>
      <c r="V321" s="261"/>
      <c r="W321" s="261"/>
      <c r="X321" s="261"/>
      <c r="Y321" s="261"/>
      <c r="Z321" s="261"/>
      <c r="AA321" s="261"/>
      <c r="AB321" s="261"/>
      <c r="AC321" s="261"/>
      <c r="AD321" s="261"/>
      <c r="AE321" s="261"/>
      <c r="AF321" s="261"/>
      <c r="AG321" s="261"/>
      <c r="AH321" s="261"/>
      <c r="AI321" s="261"/>
      <c r="AJ321" s="261"/>
      <c r="AK321" s="261"/>
      <c r="AL321" s="261"/>
      <c r="AM321" s="261"/>
      <c r="AN321" s="261"/>
      <c r="AO321" s="261"/>
      <c r="AP321" s="261"/>
      <c r="AQ321" s="261"/>
      <c r="AR321" s="157">
        <v>35.67</v>
      </c>
      <c r="AS321" s="261"/>
      <c r="AT321" s="261"/>
      <c r="AU321" s="261"/>
      <c r="AV321" s="261"/>
      <c r="AW321" s="261"/>
      <c r="AX321" s="261"/>
      <c r="AY321" s="261"/>
      <c r="AZ321" s="261"/>
      <c r="BA321" s="261"/>
      <c r="BB321" s="261"/>
      <c r="BC321" s="261"/>
      <c r="BD321" s="261"/>
      <c r="BE321" s="261"/>
      <c r="BF321" s="261"/>
      <c r="BG321" s="261"/>
      <c r="BH321" s="261"/>
      <c r="BI321" s="261"/>
      <c r="BJ321" s="261"/>
      <c r="BK321" s="261"/>
      <c r="BL321" s="261"/>
      <c r="BM321" s="261"/>
      <c r="BN321" s="261"/>
      <c r="BO321" s="261"/>
      <c r="BP321" s="261"/>
      <c r="BQ321" s="261"/>
      <c r="BR321" s="261"/>
      <c r="BS321" s="261"/>
      <c r="BT321" s="261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</row>
  </sheetData>
  <mergeCells count="92">
    <mergeCell ref="BA12:BE12"/>
    <mergeCell ref="BK5:BT5"/>
    <mergeCell ref="BF89:BJ89"/>
    <mergeCell ref="BA5:BE5"/>
    <mergeCell ref="BF5:BJ5"/>
    <mergeCell ref="BA46:BE46"/>
    <mergeCell ref="BF70:BJ70"/>
    <mergeCell ref="BF71:BJ71"/>
    <mergeCell ref="BF72:BJ72"/>
    <mergeCell ref="BA16:BE16"/>
    <mergeCell ref="BA17:BE17"/>
    <mergeCell ref="BA18:BE18"/>
    <mergeCell ref="BA13:BE13"/>
    <mergeCell ref="BA14:BE14"/>
    <mergeCell ref="BA8:BE8"/>
    <mergeCell ref="BA9:BE9"/>
    <mergeCell ref="BA10:BE10"/>
    <mergeCell ref="BA11:BE11"/>
    <mergeCell ref="A5:F5"/>
    <mergeCell ref="G5:P5"/>
    <mergeCell ref="U5:AQ5"/>
    <mergeCell ref="AS5:AT5"/>
    <mergeCell ref="AU5:AZ5"/>
    <mergeCell ref="BA152:BE152"/>
    <mergeCell ref="BF103:BJ103"/>
    <mergeCell ref="BA112:BE112"/>
    <mergeCell ref="BA126:BE126"/>
    <mergeCell ref="BA128:BE128"/>
    <mergeCell ref="BA134:BE134"/>
    <mergeCell ref="BA135:BE135"/>
    <mergeCell ref="BA136:BE136"/>
    <mergeCell ref="BA137:BE137"/>
    <mergeCell ref="BA138:BE138"/>
    <mergeCell ref="BA142:BE142"/>
    <mergeCell ref="BA147:BE147"/>
    <mergeCell ref="BA171:BE171"/>
    <mergeCell ref="BA155:BE155"/>
    <mergeCell ref="BA156:BE156"/>
    <mergeCell ref="BA157:BE157"/>
    <mergeCell ref="BA158:BE158"/>
    <mergeCell ref="BA159:BE159"/>
    <mergeCell ref="BA160:BE160"/>
    <mergeCell ref="BA161:BE161"/>
    <mergeCell ref="BA163:BD163"/>
    <mergeCell ref="BA168:BE168"/>
    <mergeCell ref="BA169:BE169"/>
    <mergeCell ref="BA170:BE170"/>
    <mergeCell ref="BA192:BE192"/>
    <mergeCell ref="BA172:BE172"/>
    <mergeCell ref="BA173:BE173"/>
    <mergeCell ref="BA176:BE176"/>
    <mergeCell ref="BA177:BE177"/>
    <mergeCell ref="BA178:BE178"/>
    <mergeCell ref="BA179:BE179"/>
    <mergeCell ref="BA186:BE186"/>
    <mergeCell ref="BA188:BE188"/>
    <mergeCell ref="BA189:BE189"/>
    <mergeCell ref="BA190:BE190"/>
    <mergeCell ref="BA191:BE191"/>
    <mergeCell ref="BA230:BE230"/>
    <mergeCell ref="BA193:BE193"/>
    <mergeCell ref="BA194:BE194"/>
    <mergeCell ref="BA195:BE195"/>
    <mergeCell ref="BA210:BE210"/>
    <mergeCell ref="BA216:BE216"/>
    <mergeCell ref="BA219:BE219"/>
    <mergeCell ref="BA220:BE220"/>
    <mergeCell ref="BA221:BE221"/>
    <mergeCell ref="BA222:BE222"/>
    <mergeCell ref="BA223:BE223"/>
    <mergeCell ref="BA225:BE225"/>
    <mergeCell ref="BA262:BE262"/>
    <mergeCell ref="BA234:BE234"/>
    <mergeCell ref="BA235:BE235"/>
    <mergeCell ref="BA236:BE236"/>
    <mergeCell ref="BA237:BE237"/>
    <mergeCell ref="BA238:BE238"/>
    <mergeCell ref="BA243:BE243"/>
    <mergeCell ref="BA244:BE244"/>
    <mergeCell ref="BA247:BE247"/>
    <mergeCell ref="BA251:BE251"/>
    <mergeCell ref="BA260:BE260"/>
    <mergeCell ref="BA261:BE261"/>
    <mergeCell ref="BA274:BE274"/>
    <mergeCell ref="BA275:BE275"/>
    <mergeCell ref="BA276:BE276"/>
    <mergeCell ref="BA263:BE263"/>
    <mergeCell ref="BA264:BE264"/>
    <mergeCell ref="BA270:BE270"/>
    <mergeCell ref="BA271:BE271"/>
    <mergeCell ref="BA272:BE272"/>
    <mergeCell ref="BA273:BE273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707"/>
  <sheetViews>
    <sheetView showGridLines="0" workbookViewId="0">
      <pane xSplit="1" ySplit="1" topLeftCell="B2" activePane="bottomRight" state="frozen"/>
      <selection activeCell="I22" sqref="I22"/>
      <selection pane="topRight" activeCell="I22" sqref="I22"/>
      <selection pane="bottomLeft" activeCell="I22" sqref="I22"/>
      <selection pane="bottomRight" activeCell="B2" sqref="B2"/>
    </sheetView>
  </sheetViews>
  <sheetFormatPr defaultRowHeight="15" x14ac:dyDescent="0.25"/>
  <cols>
    <col min="1" max="1" width="13.7109375" style="52" customWidth="1"/>
    <col min="2" max="2" width="20.28515625" style="52" customWidth="1"/>
    <col min="3" max="3" width="42.28515625" style="52" customWidth="1"/>
    <col min="4" max="256" width="9.140625" style="52"/>
    <col min="257" max="257" width="13.7109375" style="52" customWidth="1"/>
    <col min="258" max="258" width="12.28515625" style="52" bestFit="1" customWidth="1"/>
    <col min="259" max="512" width="9.140625" style="52"/>
    <col min="513" max="513" width="13.7109375" style="52" customWidth="1"/>
    <col min="514" max="514" width="12.28515625" style="52" bestFit="1" customWidth="1"/>
    <col min="515" max="768" width="9.140625" style="52"/>
    <col min="769" max="769" width="13.7109375" style="52" customWidth="1"/>
    <col min="770" max="770" width="12.28515625" style="52" bestFit="1" customWidth="1"/>
    <col min="771" max="1024" width="9.140625" style="52"/>
    <col min="1025" max="1025" width="13.7109375" style="52" customWidth="1"/>
    <col min="1026" max="1026" width="12.28515625" style="52" bestFit="1" customWidth="1"/>
    <col min="1027" max="1280" width="9.140625" style="52"/>
    <col min="1281" max="1281" width="13.7109375" style="52" customWidth="1"/>
    <col min="1282" max="1282" width="12.28515625" style="52" bestFit="1" customWidth="1"/>
    <col min="1283" max="1536" width="9.140625" style="52"/>
    <col min="1537" max="1537" width="13.7109375" style="52" customWidth="1"/>
    <col min="1538" max="1538" width="12.28515625" style="52" bestFit="1" customWidth="1"/>
    <col min="1539" max="1792" width="9.140625" style="52"/>
    <col min="1793" max="1793" width="13.7109375" style="52" customWidth="1"/>
    <col min="1794" max="1794" width="12.28515625" style="52" bestFit="1" customWidth="1"/>
    <col min="1795" max="2048" width="9.140625" style="52"/>
    <col min="2049" max="2049" width="13.7109375" style="52" customWidth="1"/>
    <col min="2050" max="2050" width="12.28515625" style="52" bestFit="1" customWidth="1"/>
    <col min="2051" max="2304" width="9.140625" style="52"/>
    <col min="2305" max="2305" width="13.7109375" style="52" customWidth="1"/>
    <col min="2306" max="2306" width="12.28515625" style="52" bestFit="1" customWidth="1"/>
    <col min="2307" max="2560" width="9.140625" style="52"/>
    <col min="2561" max="2561" width="13.7109375" style="52" customWidth="1"/>
    <col min="2562" max="2562" width="12.28515625" style="52" bestFit="1" customWidth="1"/>
    <col min="2563" max="2816" width="9.140625" style="52"/>
    <col min="2817" max="2817" width="13.7109375" style="52" customWidth="1"/>
    <col min="2818" max="2818" width="12.28515625" style="52" bestFit="1" customWidth="1"/>
    <col min="2819" max="3072" width="9.140625" style="52"/>
    <col min="3073" max="3073" width="13.7109375" style="52" customWidth="1"/>
    <col min="3074" max="3074" width="12.28515625" style="52" bestFit="1" customWidth="1"/>
    <col min="3075" max="3328" width="9.140625" style="52"/>
    <col min="3329" max="3329" width="13.7109375" style="52" customWidth="1"/>
    <col min="3330" max="3330" width="12.28515625" style="52" bestFit="1" customWidth="1"/>
    <col min="3331" max="3584" width="9.140625" style="52"/>
    <col min="3585" max="3585" width="13.7109375" style="52" customWidth="1"/>
    <col min="3586" max="3586" width="12.28515625" style="52" bestFit="1" customWidth="1"/>
    <col min="3587" max="3840" width="9.140625" style="52"/>
    <col min="3841" max="3841" width="13.7109375" style="52" customWidth="1"/>
    <col min="3842" max="3842" width="12.28515625" style="52" bestFit="1" customWidth="1"/>
    <col min="3843" max="4096" width="9.140625" style="52"/>
    <col min="4097" max="4097" width="13.7109375" style="52" customWidth="1"/>
    <col min="4098" max="4098" width="12.28515625" style="52" bestFit="1" customWidth="1"/>
    <col min="4099" max="4352" width="9.140625" style="52"/>
    <col min="4353" max="4353" width="13.7109375" style="52" customWidth="1"/>
    <col min="4354" max="4354" width="12.28515625" style="52" bestFit="1" customWidth="1"/>
    <col min="4355" max="4608" width="9.140625" style="52"/>
    <col min="4609" max="4609" width="13.7109375" style="52" customWidth="1"/>
    <col min="4610" max="4610" width="12.28515625" style="52" bestFit="1" customWidth="1"/>
    <col min="4611" max="4864" width="9.140625" style="52"/>
    <col min="4865" max="4865" width="13.7109375" style="52" customWidth="1"/>
    <col min="4866" max="4866" width="12.28515625" style="52" bestFit="1" customWidth="1"/>
    <col min="4867" max="5120" width="9.140625" style="52"/>
    <col min="5121" max="5121" width="13.7109375" style="52" customWidth="1"/>
    <col min="5122" max="5122" width="12.28515625" style="52" bestFit="1" customWidth="1"/>
    <col min="5123" max="5376" width="9.140625" style="52"/>
    <col min="5377" max="5377" width="13.7109375" style="52" customWidth="1"/>
    <col min="5378" max="5378" width="12.28515625" style="52" bestFit="1" customWidth="1"/>
    <col min="5379" max="5632" width="9.140625" style="52"/>
    <col min="5633" max="5633" width="13.7109375" style="52" customWidth="1"/>
    <col min="5634" max="5634" width="12.28515625" style="52" bestFit="1" customWidth="1"/>
    <col min="5635" max="5888" width="9.140625" style="52"/>
    <col min="5889" max="5889" width="13.7109375" style="52" customWidth="1"/>
    <col min="5890" max="5890" width="12.28515625" style="52" bestFit="1" customWidth="1"/>
    <col min="5891" max="6144" width="9.140625" style="52"/>
    <col min="6145" max="6145" width="13.7109375" style="52" customWidth="1"/>
    <col min="6146" max="6146" width="12.28515625" style="52" bestFit="1" customWidth="1"/>
    <col min="6147" max="6400" width="9.140625" style="52"/>
    <col min="6401" max="6401" width="13.7109375" style="52" customWidth="1"/>
    <col min="6402" max="6402" width="12.28515625" style="52" bestFit="1" customWidth="1"/>
    <col min="6403" max="6656" width="9.140625" style="52"/>
    <col min="6657" max="6657" width="13.7109375" style="52" customWidth="1"/>
    <col min="6658" max="6658" width="12.28515625" style="52" bestFit="1" customWidth="1"/>
    <col min="6659" max="6912" width="9.140625" style="52"/>
    <col min="6913" max="6913" width="13.7109375" style="52" customWidth="1"/>
    <col min="6914" max="6914" width="12.28515625" style="52" bestFit="1" customWidth="1"/>
    <col min="6915" max="7168" width="9.140625" style="52"/>
    <col min="7169" max="7169" width="13.7109375" style="52" customWidth="1"/>
    <col min="7170" max="7170" width="12.28515625" style="52" bestFit="1" customWidth="1"/>
    <col min="7171" max="7424" width="9.140625" style="52"/>
    <col min="7425" max="7425" width="13.7109375" style="52" customWidth="1"/>
    <col min="7426" max="7426" width="12.28515625" style="52" bestFit="1" customWidth="1"/>
    <col min="7427" max="7680" width="9.140625" style="52"/>
    <col min="7681" max="7681" width="13.7109375" style="52" customWidth="1"/>
    <col min="7682" max="7682" width="12.28515625" style="52" bestFit="1" customWidth="1"/>
    <col min="7683" max="7936" width="9.140625" style="52"/>
    <col min="7937" max="7937" width="13.7109375" style="52" customWidth="1"/>
    <col min="7938" max="7938" width="12.28515625" style="52" bestFit="1" customWidth="1"/>
    <col min="7939" max="8192" width="9.140625" style="52"/>
    <col min="8193" max="8193" width="13.7109375" style="52" customWidth="1"/>
    <col min="8194" max="8194" width="12.28515625" style="52" bestFit="1" customWidth="1"/>
    <col min="8195" max="8448" width="9.140625" style="52"/>
    <col min="8449" max="8449" width="13.7109375" style="52" customWidth="1"/>
    <col min="8450" max="8450" width="12.28515625" style="52" bestFit="1" customWidth="1"/>
    <col min="8451" max="8704" width="9.140625" style="52"/>
    <col min="8705" max="8705" width="13.7109375" style="52" customWidth="1"/>
    <col min="8706" max="8706" width="12.28515625" style="52" bestFit="1" customWidth="1"/>
    <col min="8707" max="8960" width="9.140625" style="52"/>
    <col min="8961" max="8961" width="13.7109375" style="52" customWidth="1"/>
    <col min="8962" max="8962" width="12.28515625" style="52" bestFit="1" customWidth="1"/>
    <col min="8963" max="9216" width="9.140625" style="52"/>
    <col min="9217" max="9217" width="13.7109375" style="52" customWidth="1"/>
    <col min="9218" max="9218" width="12.28515625" style="52" bestFit="1" customWidth="1"/>
    <col min="9219" max="9472" width="9.140625" style="52"/>
    <col min="9473" max="9473" width="13.7109375" style="52" customWidth="1"/>
    <col min="9474" max="9474" width="12.28515625" style="52" bestFit="1" customWidth="1"/>
    <col min="9475" max="9728" width="9.140625" style="52"/>
    <col min="9729" max="9729" width="13.7109375" style="52" customWidth="1"/>
    <col min="9730" max="9730" width="12.28515625" style="52" bestFit="1" customWidth="1"/>
    <col min="9731" max="9984" width="9.140625" style="52"/>
    <col min="9985" max="9985" width="13.7109375" style="52" customWidth="1"/>
    <col min="9986" max="9986" width="12.28515625" style="52" bestFit="1" customWidth="1"/>
    <col min="9987" max="10240" width="9.140625" style="52"/>
    <col min="10241" max="10241" width="13.7109375" style="52" customWidth="1"/>
    <col min="10242" max="10242" width="12.28515625" style="52" bestFit="1" customWidth="1"/>
    <col min="10243" max="10496" width="9.140625" style="52"/>
    <col min="10497" max="10497" width="13.7109375" style="52" customWidth="1"/>
    <col min="10498" max="10498" width="12.28515625" style="52" bestFit="1" customWidth="1"/>
    <col min="10499" max="10752" width="9.140625" style="52"/>
    <col min="10753" max="10753" width="13.7109375" style="52" customWidth="1"/>
    <col min="10754" max="10754" width="12.28515625" style="52" bestFit="1" customWidth="1"/>
    <col min="10755" max="11008" width="9.140625" style="52"/>
    <col min="11009" max="11009" width="13.7109375" style="52" customWidth="1"/>
    <col min="11010" max="11010" width="12.28515625" style="52" bestFit="1" customWidth="1"/>
    <col min="11011" max="11264" width="9.140625" style="52"/>
    <col min="11265" max="11265" width="13.7109375" style="52" customWidth="1"/>
    <col min="11266" max="11266" width="12.28515625" style="52" bestFit="1" customWidth="1"/>
    <col min="11267" max="11520" width="9.140625" style="52"/>
    <col min="11521" max="11521" width="13.7109375" style="52" customWidth="1"/>
    <col min="11522" max="11522" width="12.28515625" style="52" bestFit="1" customWidth="1"/>
    <col min="11523" max="11776" width="9.140625" style="52"/>
    <col min="11777" max="11777" width="13.7109375" style="52" customWidth="1"/>
    <col min="11778" max="11778" width="12.28515625" style="52" bestFit="1" customWidth="1"/>
    <col min="11779" max="12032" width="9.140625" style="52"/>
    <col min="12033" max="12033" width="13.7109375" style="52" customWidth="1"/>
    <col min="12034" max="12034" width="12.28515625" style="52" bestFit="1" customWidth="1"/>
    <col min="12035" max="12288" width="9.140625" style="52"/>
    <col min="12289" max="12289" width="13.7109375" style="52" customWidth="1"/>
    <col min="12290" max="12290" width="12.28515625" style="52" bestFit="1" customWidth="1"/>
    <col min="12291" max="12544" width="9.140625" style="52"/>
    <col min="12545" max="12545" width="13.7109375" style="52" customWidth="1"/>
    <col min="12546" max="12546" width="12.28515625" style="52" bestFit="1" customWidth="1"/>
    <col min="12547" max="12800" width="9.140625" style="52"/>
    <col min="12801" max="12801" width="13.7109375" style="52" customWidth="1"/>
    <col min="12802" max="12802" width="12.28515625" style="52" bestFit="1" customWidth="1"/>
    <col min="12803" max="13056" width="9.140625" style="52"/>
    <col min="13057" max="13057" width="13.7109375" style="52" customWidth="1"/>
    <col min="13058" max="13058" width="12.28515625" style="52" bestFit="1" customWidth="1"/>
    <col min="13059" max="13312" width="9.140625" style="52"/>
    <col min="13313" max="13313" width="13.7109375" style="52" customWidth="1"/>
    <col min="13314" max="13314" width="12.28515625" style="52" bestFit="1" customWidth="1"/>
    <col min="13315" max="13568" width="9.140625" style="52"/>
    <col min="13569" max="13569" width="13.7109375" style="52" customWidth="1"/>
    <col min="13570" max="13570" width="12.28515625" style="52" bestFit="1" customWidth="1"/>
    <col min="13571" max="13824" width="9.140625" style="52"/>
    <col min="13825" max="13825" width="13.7109375" style="52" customWidth="1"/>
    <col min="13826" max="13826" width="12.28515625" style="52" bestFit="1" customWidth="1"/>
    <col min="13827" max="14080" width="9.140625" style="52"/>
    <col min="14081" max="14081" width="13.7109375" style="52" customWidth="1"/>
    <col min="14082" max="14082" width="12.28515625" style="52" bestFit="1" customWidth="1"/>
    <col min="14083" max="14336" width="9.140625" style="52"/>
    <col min="14337" max="14337" width="13.7109375" style="52" customWidth="1"/>
    <col min="14338" max="14338" width="12.28515625" style="52" bestFit="1" customWidth="1"/>
    <col min="14339" max="14592" width="9.140625" style="52"/>
    <col min="14593" max="14593" width="13.7109375" style="52" customWidth="1"/>
    <col min="14594" max="14594" width="12.28515625" style="52" bestFit="1" customWidth="1"/>
    <col min="14595" max="14848" width="9.140625" style="52"/>
    <col min="14849" max="14849" width="13.7109375" style="52" customWidth="1"/>
    <col min="14850" max="14850" width="12.28515625" style="52" bestFit="1" customWidth="1"/>
    <col min="14851" max="15104" width="9.140625" style="52"/>
    <col min="15105" max="15105" width="13.7109375" style="52" customWidth="1"/>
    <col min="15106" max="15106" width="12.28515625" style="52" bestFit="1" customWidth="1"/>
    <col min="15107" max="15360" width="9.140625" style="52"/>
    <col min="15361" max="15361" width="13.7109375" style="52" customWidth="1"/>
    <col min="15362" max="15362" width="12.28515625" style="52" bestFit="1" customWidth="1"/>
    <col min="15363" max="15616" width="9.140625" style="52"/>
    <col min="15617" max="15617" width="13.7109375" style="52" customWidth="1"/>
    <col min="15618" max="15618" width="12.28515625" style="52" bestFit="1" customWidth="1"/>
    <col min="15619" max="15872" width="9.140625" style="52"/>
    <col min="15873" max="15873" width="13.7109375" style="52" customWidth="1"/>
    <col min="15874" max="15874" width="12.28515625" style="52" bestFit="1" customWidth="1"/>
    <col min="15875" max="16128" width="9.140625" style="52"/>
    <col min="16129" max="16129" width="13.7109375" style="52" customWidth="1"/>
    <col min="16130" max="16130" width="12.28515625" style="52" bestFit="1" customWidth="1"/>
    <col min="16131" max="16384" width="9.140625" style="52"/>
  </cols>
  <sheetData>
    <row r="1" spans="1:3" x14ac:dyDescent="0.25">
      <c r="A1" s="53" t="s">
        <v>0</v>
      </c>
      <c r="B1" s="54" t="s">
        <v>75</v>
      </c>
      <c r="C1" s="55" t="s">
        <v>62</v>
      </c>
    </row>
    <row r="2" spans="1:3" x14ac:dyDescent="0.25">
      <c r="A2" s="105" t="s">
        <v>711</v>
      </c>
      <c r="B2" s="86" t="s">
        <v>77</v>
      </c>
      <c r="C2" s="97" t="s">
        <v>704</v>
      </c>
    </row>
    <row r="3" spans="1:3" x14ac:dyDescent="0.25">
      <c r="A3" s="98" t="s">
        <v>710</v>
      </c>
      <c r="B3" s="86" t="s">
        <v>77</v>
      </c>
      <c r="C3" s="86" t="s">
        <v>73</v>
      </c>
    </row>
    <row r="4" spans="1:3" x14ac:dyDescent="0.25">
      <c r="A4" s="98" t="s">
        <v>705</v>
      </c>
      <c r="B4" s="86" t="s">
        <v>77</v>
      </c>
      <c r="C4" s="86" t="s">
        <v>73</v>
      </c>
    </row>
    <row r="5" spans="1:3" x14ac:dyDescent="0.25">
      <c r="A5" s="98" t="s">
        <v>695</v>
      </c>
      <c r="B5" s="86" t="s">
        <v>77</v>
      </c>
      <c r="C5" s="86" t="s">
        <v>73</v>
      </c>
    </row>
    <row r="6" spans="1:3" x14ac:dyDescent="0.25">
      <c r="A6" s="98" t="s">
        <v>703</v>
      </c>
      <c r="B6" s="86" t="s">
        <v>77</v>
      </c>
      <c r="C6" s="86" t="s">
        <v>73</v>
      </c>
    </row>
    <row r="7" spans="1:3" x14ac:dyDescent="0.25">
      <c r="A7" s="98" t="s">
        <v>702</v>
      </c>
      <c r="B7" s="86" t="s">
        <v>77</v>
      </c>
      <c r="C7" s="97" t="s">
        <v>704</v>
      </c>
    </row>
    <row r="8" spans="1:3" x14ac:dyDescent="0.25">
      <c r="A8" s="52" t="s">
        <v>76</v>
      </c>
      <c r="B8" s="52" t="s">
        <v>77</v>
      </c>
      <c r="C8" s="52" t="s">
        <v>73</v>
      </c>
    </row>
    <row r="9" spans="1:3" x14ac:dyDescent="0.25">
      <c r="A9" s="52" t="s">
        <v>78</v>
      </c>
      <c r="B9" s="52" t="s">
        <v>77</v>
      </c>
      <c r="C9" s="52" t="s">
        <v>73</v>
      </c>
    </row>
    <row r="10" spans="1:3" x14ac:dyDescent="0.25">
      <c r="A10" s="52" t="s">
        <v>79</v>
      </c>
      <c r="B10" s="52" t="s">
        <v>77</v>
      </c>
      <c r="C10" s="52" t="s">
        <v>73</v>
      </c>
    </row>
    <row r="11" spans="1:3" x14ac:dyDescent="0.25">
      <c r="A11" s="52" t="s">
        <v>80</v>
      </c>
      <c r="B11" s="52" t="s">
        <v>77</v>
      </c>
      <c r="C11" s="52" t="s">
        <v>73</v>
      </c>
    </row>
    <row r="12" spans="1:3" x14ac:dyDescent="0.25">
      <c r="A12" s="52" t="s">
        <v>81</v>
      </c>
      <c r="B12" s="52" t="s">
        <v>77</v>
      </c>
      <c r="C12" s="52" t="s">
        <v>73</v>
      </c>
    </row>
    <row r="13" spans="1:3" x14ac:dyDescent="0.25">
      <c r="A13" s="52" t="s">
        <v>82</v>
      </c>
      <c r="B13" s="52" t="s">
        <v>77</v>
      </c>
      <c r="C13" s="52" t="s">
        <v>73</v>
      </c>
    </row>
    <row r="14" spans="1:3" x14ac:dyDescent="0.25">
      <c r="A14" s="52" t="s">
        <v>83</v>
      </c>
      <c r="B14" s="52" t="s">
        <v>77</v>
      </c>
      <c r="C14" s="52" t="s">
        <v>73</v>
      </c>
    </row>
    <row r="15" spans="1:3" x14ac:dyDescent="0.25">
      <c r="A15" s="52" t="s">
        <v>84</v>
      </c>
      <c r="B15" s="52" t="s">
        <v>77</v>
      </c>
      <c r="C15" s="52" t="s">
        <v>73</v>
      </c>
    </row>
    <row r="16" spans="1:3" x14ac:dyDescent="0.25">
      <c r="A16" s="52" t="s">
        <v>85</v>
      </c>
      <c r="B16" s="52" t="s">
        <v>77</v>
      </c>
      <c r="C16" s="52" t="s">
        <v>73</v>
      </c>
    </row>
    <row r="17" spans="1:3" x14ac:dyDescent="0.25">
      <c r="A17" s="52" t="s">
        <v>86</v>
      </c>
      <c r="B17" s="52" t="s">
        <v>77</v>
      </c>
      <c r="C17" s="52" t="s">
        <v>73</v>
      </c>
    </row>
    <row r="18" spans="1:3" x14ac:dyDescent="0.25">
      <c r="A18" s="52" t="s">
        <v>87</v>
      </c>
      <c r="B18" s="52" t="s">
        <v>77</v>
      </c>
      <c r="C18" s="52" t="s">
        <v>73</v>
      </c>
    </row>
    <row r="19" spans="1:3" x14ac:dyDescent="0.25">
      <c r="A19" s="52" t="s">
        <v>88</v>
      </c>
      <c r="B19" s="52" t="s">
        <v>77</v>
      </c>
      <c r="C19" s="52" t="s">
        <v>73</v>
      </c>
    </row>
    <row r="20" spans="1:3" x14ac:dyDescent="0.25">
      <c r="A20" s="52" t="s">
        <v>89</v>
      </c>
      <c r="B20" s="52" t="s">
        <v>77</v>
      </c>
      <c r="C20" s="52" t="s">
        <v>73</v>
      </c>
    </row>
    <row r="21" spans="1:3" x14ac:dyDescent="0.25">
      <c r="A21" s="52" t="s">
        <v>90</v>
      </c>
      <c r="B21" s="52" t="s">
        <v>77</v>
      </c>
      <c r="C21" s="52" t="s">
        <v>73</v>
      </c>
    </row>
    <row r="22" spans="1:3" x14ac:dyDescent="0.25">
      <c r="A22" s="52" t="s">
        <v>91</v>
      </c>
      <c r="B22" s="52" t="s">
        <v>77</v>
      </c>
      <c r="C22" s="52" t="s">
        <v>73</v>
      </c>
    </row>
    <row r="23" spans="1:3" x14ac:dyDescent="0.25">
      <c r="A23" s="52" t="s">
        <v>92</v>
      </c>
      <c r="B23" s="52" t="s">
        <v>77</v>
      </c>
      <c r="C23" s="52" t="s">
        <v>73</v>
      </c>
    </row>
    <row r="24" spans="1:3" x14ac:dyDescent="0.25">
      <c r="A24" s="52" t="s">
        <v>93</v>
      </c>
      <c r="B24" s="52" t="s">
        <v>77</v>
      </c>
      <c r="C24" s="52" t="s">
        <v>73</v>
      </c>
    </row>
    <row r="25" spans="1:3" x14ac:dyDescent="0.25">
      <c r="A25" s="52" t="s">
        <v>94</v>
      </c>
      <c r="B25" s="52" t="s">
        <v>77</v>
      </c>
      <c r="C25" s="52" t="s">
        <v>73</v>
      </c>
    </row>
    <row r="26" spans="1:3" x14ac:dyDescent="0.25">
      <c r="A26" s="52" t="s">
        <v>95</v>
      </c>
      <c r="B26" s="52" t="s">
        <v>77</v>
      </c>
      <c r="C26" s="52" t="s">
        <v>73</v>
      </c>
    </row>
    <row r="27" spans="1:3" x14ac:dyDescent="0.25">
      <c r="A27" s="52" t="s">
        <v>96</v>
      </c>
      <c r="B27" s="52" t="s">
        <v>77</v>
      </c>
      <c r="C27" s="52" t="s">
        <v>73</v>
      </c>
    </row>
    <row r="28" spans="1:3" x14ac:dyDescent="0.25">
      <c r="A28" s="52" t="s">
        <v>97</v>
      </c>
      <c r="B28" s="52" t="s">
        <v>77</v>
      </c>
      <c r="C28" s="52" t="s">
        <v>73</v>
      </c>
    </row>
    <row r="29" spans="1:3" x14ac:dyDescent="0.25">
      <c r="A29" s="52" t="s">
        <v>98</v>
      </c>
      <c r="B29" s="52" t="s">
        <v>77</v>
      </c>
      <c r="C29" s="52" t="s">
        <v>73</v>
      </c>
    </row>
    <row r="30" spans="1:3" x14ac:dyDescent="0.25">
      <c r="A30" s="52" t="s">
        <v>99</v>
      </c>
      <c r="B30" s="52" t="s">
        <v>77</v>
      </c>
      <c r="C30" s="52" t="s">
        <v>73</v>
      </c>
    </row>
    <row r="31" spans="1:3" x14ac:dyDescent="0.25">
      <c r="A31" s="52" t="s">
        <v>100</v>
      </c>
      <c r="B31" s="52" t="s">
        <v>77</v>
      </c>
      <c r="C31" s="52" t="s">
        <v>73</v>
      </c>
    </row>
    <row r="32" spans="1:3" x14ac:dyDescent="0.25">
      <c r="A32" s="52" t="s">
        <v>101</v>
      </c>
      <c r="B32" s="52" t="s">
        <v>77</v>
      </c>
      <c r="C32" s="52" t="s">
        <v>73</v>
      </c>
    </row>
    <row r="33" spans="1:3" x14ac:dyDescent="0.25">
      <c r="A33" s="52" t="s">
        <v>102</v>
      </c>
      <c r="B33" s="52" t="s">
        <v>77</v>
      </c>
      <c r="C33" s="52" t="s">
        <v>73</v>
      </c>
    </row>
    <row r="34" spans="1:3" x14ac:dyDescent="0.25">
      <c r="A34" s="52" t="s">
        <v>103</v>
      </c>
      <c r="B34" s="52" t="s">
        <v>77</v>
      </c>
      <c r="C34" s="52" t="s">
        <v>73</v>
      </c>
    </row>
    <row r="35" spans="1:3" x14ac:dyDescent="0.25">
      <c r="A35" s="52" t="s">
        <v>104</v>
      </c>
      <c r="B35" s="52" t="s">
        <v>77</v>
      </c>
      <c r="C35" s="52" t="s">
        <v>73</v>
      </c>
    </row>
    <row r="36" spans="1:3" x14ac:dyDescent="0.25">
      <c r="A36" s="52" t="s">
        <v>105</v>
      </c>
      <c r="B36" s="52" t="s">
        <v>77</v>
      </c>
      <c r="C36" s="52" t="s">
        <v>73</v>
      </c>
    </row>
    <row r="37" spans="1:3" x14ac:dyDescent="0.25">
      <c r="A37" s="52" t="s">
        <v>106</v>
      </c>
      <c r="B37" s="52" t="s">
        <v>77</v>
      </c>
      <c r="C37" s="52" t="s">
        <v>73</v>
      </c>
    </row>
    <row r="38" spans="1:3" x14ac:dyDescent="0.25">
      <c r="A38" s="52" t="s">
        <v>107</v>
      </c>
      <c r="B38" s="52" t="s">
        <v>77</v>
      </c>
      <c r="C38" s="52" t="s">
        <v>73</v>
      </c>
    </row>
    <row r="39" spans="1:3" x14ac:dyDescent="0.25">
      <c r="A39" s="52" t="s">
        <v>108</v>
      </c>
      <c r="B39" s="52" t="s">
        <v>77</v>
      </c>
      <c r="C39" s="52" t="s">
        <v>73</v>
      </c>
    </row>
    <row r="40" spans="1:3" x14ac:dyDescent="0.25">
      <c r="A40" s="52" t="s">
        <v>109</v>
      </c>
      <c r="B40" s="52" t="s">
        <v>77</v>
      </c>
      <c r="C40" s="52" t="s">
        <v>73</v>
      </c>
    </row>
    <row r="41" spans="1:3" x14ac:dyDescent="0.25">
      <c r="A41" s="52" t="s">
        <v>110</v>
      </c>
      <c r="B41" s="52" t="s">
        <v>77</v>
      </c>
      <c r="C41" s="52" t="s">
        <v>73</v>
      </c>
    </row>
    <row r="42" spans="1:3" x14ac:dyDescent="0.25">
      <c r="A42" s="52" t="s">
        <v>111</v>
      </c>
      <c r="B42" s="52" t="s">
        <v>77</v>
      </c>
      <c r="C42" s="52" t="s">
        <v>73</v>
      </c>
    </row>
    <row r="43" spans="1:3" x14ac:dyDescent="0.25">
      <c r="A43" s="52" t="s">
        <v>112</v>
      </c>
      <c r="B43" s="52" t="s">
        <v>77</v>
      </c>
      <c r="C43" s="52" t="s">
        <v>73</v>
      </c>
    </row>
    <row r="44" spans="1:3" x14ac:dyDescent="0.25">
      <c r="A44" s="52" t="s">
        <v>113</v>
      </c>
      <c r="B44" s="52" t="s">
        <v>77</v>
      </c>
      <c r="C44" s="52" t="s">
        <v>73</v>
      </c>
    </row>
    <row r="45" spans="1:3" x14ac:dyDescent="0.25">
      <c r="A45" s="52" t="s">
        <v>114</v>
      </c>
      <c r="B45" s="52" t="s">
        <v>77</v>
      </c>
      <c r="C45" s="52" t="s">
        <v>73</v>
      </c>
    </row>
    <row r="46" spans="1:3" x14ac:dyDescent="0.25">
      <c r="A46" s="52" t="s">
        <v>115</v>
      </c>
      <c r="B46" s="52" t="s">
        <v>77</v>
      </c>
      <c r="C46" s="52" t="s">
        <v>73</v>
      </c>
    </row>
    <row r="47" spans="1:3" x14ac:dyDescent="0.25">
      <c r="A47" s="52" t="s">
        <v>116</v>
      </c>
      <c r="B47" s="52" t="s">
        <v>77</v>
      </c>
      <c r="C47" s="52" t="s">
        <v>73</v>
      </c>
    </row>
    <row r="48" spans="1:3" x14ac:dyDescent="0.25">
      <c r="A48" s="52" t="s">
        <v>117</v>
      </c>
      <c r="B48" s="52" t="s">
        <v>77</v>
      </c>
      <c r="C48" s="52" t="s">
        <v>73</v>
      </c>
    </row>
    <row r="49" spans="1:3" x14ac:dyDescent="0.25">
      <c r="A49" s="52" t="s">
        <v>118</v>
      </c>
      <c r="B49" s="52" t="s">
        <v>77</v>
      </c>
      <c r="C49" s="52" t="s">
        <v>73</v>
      </c>
    </row>
    <row r="50" spans="1:3" x14ac:dyDescent="0.25">
      <c r="A50" s="52" t="s">
        <v>119</v>
      </c>
      <c r="B50" s="52" t="s">
        <v>77</v>
      </c>
      <c r="C50" s="52" t="s">
        <v>73</v>
      </c>
    </row>
    <row r="51" spans="1:3" x14ac:dyDescent="0.25">
      <c r="A51" s="52" t="s">
        <v>120</v>
      </c>
      <c r="B51" s="52" t="s">
        <v>77</v>
      </c>
      <c r="C51" s="52" t="s">
        <v>73</v>
      </c>
    </row>
    <row r="52" spans="1:3" x14ac:dyDescent="0.25">
      <c r="A52" s="52" t="s">
        <v>121</v>
      </c>
      <c r="B52" s="52" t="s">
        <v>77</v>
      </c>
      <c r="C52" s="52" t="s">
        <v>73</v>
      </c>
    </row>
    <row r="53" spans="1:3" x14ac:dyDescent="0.25">
      <c r="A53" s="52" t="s">
        <v>122</v>
      </c>
      <c r="B53" s="52" t="s">
        <v>77</v>
      </c>
      <c r="C53" s="52" t="s">
        <v>73</v>
      </c>
    </row>
    <row r="54" spans="1:3" x14ac:dyDescent="0.25">
      <c r="A54" s="52" t="s">
        <v>123</v>
      </c>
      <c r="B54" s="52" t="s">
        <v>77</v>
      </c>
      <c r="C54" s="52" t="s">
        <v>73</v>
      </c>
    </row>
    <row r="55" spans="1:3" x14ac:dyDescent="0.25">
      <c r="A55" s="52" t="s">
        <v>124</v>
      </c>
      <c r="B55" s="52" t="s">
        <v>77</v>
      </c>
      <c r="C55" s="52" t="s">
        <v>73</v>
      </c>
    </row>
    <row r="56" spans="1:3" x14ac:dyDescent="0.25">
      <c r="A56" s="52" t="s">
        <v>125</v>
      </c>
      <c r="B56" s="52" t="s">
        <v>77</v>
      </c>
      <c r="C56" s="52" t="s">
        <v>73</v>
      </c>
    </row>
    <row r="57" spans="1:3" x14ac:dyDescent="0.25">
      <c r="A57" s="52" t="s">
        <v>126</v>
      </c>
      <c r="B57" s="52" t="s">
        <v>77</v>
      </c>
      <c r="C57" s="52" t="s">
        <v>73</v>
      </c>
    </row>
    <row r="58" spans="1:3" x14ac:dyDescent="0.25">
      <c r="A58" s="52" t="s">
        <v>127</v>
      </c>
      <c r="B58" s="52" t="s">
        <v>77</v>
      </c>
      <c r="C58" s="52" t="s">
        <v>73</v>
      </c>
    </row>
    <row r="59" spans="1:3" x14ac:dyDescent="0.25">
      <c r="A59" s="52" t="s">
        <v>128</v>
      </c>
      <c r="B59" s="52" t="s">
        <v>77</v>
      </c>
      <c r="C59" s="52" t="s">
        <v>73</v>
      </c>
    </row>
    <row r="60" spans="1:3" x14ac:dyDescent="0.25">
      <c r="A60" s="52" t="s">
        <v>129</v>
      </c>
      <c r="B60" s="52" t="s">
        <v>77</v>
      </c>
      <c r="C60" s="52" t="s">
        <v>73</v>
      </c>
    </row>
    <row r="61" spans="1:3" x14ac:dyDescent="0.25">
      <c r="A61" s="52" t="s">
        <v>130</v>
      </c>
      <c r="B61" s="52" t="s">
        <v>77</v>
      </c>
      <c r="C61" s="52" t="s">
        <v>73</v>
      </c>
    </row>
    <row r="62" spans="1:3" x14ac:dyDescent="0.25">
      <c r="A62" s="52" t="s">
        <v>131</v>
      </c>
      <c r="B62" s="52" t="s">
        <v>77</v>
      </c>
      <c r="C62" s="52" t="s">
        <v>73</v>
      </c>
    </row>
    <row r="63" spans="1:3" x14ac:dyDescent="0.25">
      <c r="A63" s="52" t="s">
        <v>132</v>
      </c>
      <c r="B63" s="52" t="s">
        <v>77</v>
      </c>
      <c r="C63" s="52" t="s">
        <v>73</v>
      </c>
    </row>
    <row r="64" spans="1:3" x14ac:dyDescent="0.25">
      <c r="A64" s="52" t="s">
        <v>133</v>
      </c>
      <c r="B64" s="52" t="s">
        <v>77</v>
      </c>
      <c r="C64" s="52" t="s">
        <v>73</v>
      </c>
    </row>
    <row r="65" spans="1:3" x14ac:dyDescent="0.25">
      <c r="A65" s="52" t="s">
        <v>134</v>
      </c>
      <c r="B65" s="52" t="s">
        <v>77</v>
      </c>
      <c r="C65" s="52" t="s">
        <v>73</v>
      </c>
    </row>
    <row r="66" spans="1:3" x14ac:dyDescent="0.25">
      <c r="A66" s="52" t="s">
        <v>135</v>
      </c>
      <c r="B66" s="52" t="s">
        <v>77</v>
      </c>
      <c r="C66" s="52" t="s">
        <v>73</v>
      </c>
    </row>
    <row r="67" spans="1:3" x14ac:dyDescent="0.25">
      <c r="A67" s="52" t="s">
        <v>136</v>
      </c>
      <c r="B67" s="52" t="s">
        <v>77</v>
      </c>
      <c r="C67" s="52" t="s">
        <v>73</v>
      </c>
    </row>
    <row r="68" spans="1:3" x14ac:dyDescent="0.25">
      <c r="A68" s="52" t="s">
        <v>137</v>
      </c>
      <c r="B68" s="52" t="s">
        <v>77</v>
      </c>
      <c r="C68" s="52" t="s">
        <v>73</v>
      </c>
    </row>
    <row r="69" spans="1:3" x14ac:dyDescent="0.25">
      <c r="A69" s="52" t="s">
        <v>138</v>
      </c>
      <c r="B69" s="52" t="s">
        <v>77</v>
      </c>
      <c r="C69" s="52" t="s">
        <v>73</v>
      </c>
    </row>
    <row r="70" spans="1:3" x14ac:dyDescent="0.25">
      <c r="A70" s="52" t="s">
        <v>139</v>
      </c>
      <c r="B70" s="52" t="s">
        <v>77</v>
      </c>
      <c r="C70" s="52" t="s">
        <v>73</v>
      </c>
    </row>
    <row r="71" spans="1:3" x14ac:dyDescent="0.25">
      <c r="A71" s="52" t="s">
        <v>140</v>
      </c>
      <c r="B71" s="52" t="s">
        <v>77</v>
      </c>
      <c r="C71" s="52" t="s">
        <v>73</v>
      </c>
    </row>
    <row r="72" spans="1:3" x14ac:dyDescent="0.25">
      <c r="A72" s="52" t="s">
        <v>141</v>
      </c>
      <c r="B72" s="52" t="s">
        <v>77</v>
      </c>
      <c r="C72" s="52" t="s">
        <v>73</v>
      </c>
    </row>
    <row r="73" spans="1:3" x14ac:dyDescent="0.25">
      <c r="A73" s="52" t="s">
        <v>142</v>
      </c>
      <c r="B73" s="52" t="s">
        <v>77</v>
      </c>
      <c r="C73" s="52" t="s">
        <v>73</v>
      </c>
    </row>
    <row r="74" spans="1:3" x14ac:dyDescent="0.25">
      <c r="A74" s="52" t="s">
        <v>143</v>
      </c>
      <c r="B74" s="52" t="s">
        <v>77</v>
      </c>
      <c r="C74" s="52" t="s">
        <v>73</v>
      </c>
    </row>
    <row r="75" spans="1:3" x14ac:dyDescent="0.25">
      <c r="A75" s="52" t="s">
        <v>144</v>
      </c>
      <c r="B75" s="52" t="s">
        <v>77</v>
      </c>
      <c r="C75" s="52" t="s">
        <v>73</v>
      </c>
    </row>
    <row r="76" spans="1:3" x14ac:dyDescent="0.25">
      <c r="A76" s="52" t="s">
        <v>145</v>
      </c>
      <c r="B76" s="52" t="s">
        <v>77</v>
      </c>
      <c r="C76" s="52" t="s">
        <v>73</v>
      </c>
    </row>
    <row r="77" spans="1:3" x14ac:dyDescent="0.25">
      <c r="A77" s="52" t="s">
        <v>146</v>
      </c>
      <c r="B77" s="52" t="s">
        <v>77</v>
      </c>
      <c r="C77" s="52" t="s">
        <v>73</v>
      </c>
    </row>
    <row r="78" spans="1:3" x14ac:dyDescent="0.25">
      <c r="A78" s="52" t="s">
        <v>147</v>
      </c>
      <c r="B78" s="52" t="s">
        <v>77</v>
      </c>
      <c r="C78" s="52" t="s">
        <v>73</v>
      </c>
    </row>
    <row r="79" spans="1:3" x14ac:dyDescent="0.25">
      <c r="A79" s="52" t="s">
        <v>148</v>
      </c>
      <c r="B79" s="52" t="s">
        <v>77</v>
      </c>
      <c r="C79" s="52" t="s">
        <v>73</v>
      </c>
    </row>
    <row r="80" spans="1:3" x14ac:dyDescent="0.25">
      <c r="A80" s="52" t="s">
        <v>149</v>
      </c>
      <c r="B80" s="52" t="s">
        <v>77</v>
      </c>
      <c r="C80" s="52" t="s">
        <v>73</v>
      </c>
    </row>
    <row r="81" spans="1:3" x14ac:dyDescent="0.25">
      <c r="A81" s="52" t="s">
        <v>150</v>
      </c>
      <c r="B81" s="52" t="s">
        <v>77</v>
      </c>
      <c r="C81" s="52" t="s">
        <v>73</v>
      </c>
    </row>
    <row r="82" spans="1:3" x14ac:dyDescent="0.25">
      <c r="A82" s="52" t="s">
        <v>151</v>
      </c>
      <c r="B82" s="52" t="s">
        <v>77</v>
      </c>
      <c r="C82" s="52" t="s">
        <v>73</v>
      </c>
    </row>
    <row r="83" spans="1:3" x14ac:dyDescent="0.25">
      <c r="A83" s="52" t="s">
        <v>152</v>
      </c>
      <c r="B83" s="52" t="s">
        <v>77</v>
      </c>
      <c r="C83" s="52" t="s">
        <v>73</v>
      </c>
    </row>
    <row r="84" spans="1:3" x14ac:dyDescent="0.25">
      <c r="A84" s="52" t="s">
        <v>153</v>
      </c>
      <c r="B84" s="52" t="s">
        <v>77</v>
      </c>
      <c r="C84" s="52" t="s">
        <v>73</v>
      </c>
    </row>
    <row r="85" spans="1:3" x14ac:dyDescent="0.25">
      <c r="A85" s="52" t="s">
        <v>154</v>
      </c>
      <c r="B85" s="52" t="s">
        <v>77</v>
      </c>
      <c r="C85" s="52" t="s">
        <v>73</v>
      </c>
    </row>
    <row r="86" spans="1:3" x14ac:dyDescent="0.25">
      <c r="A86" s="52" t="s">
        <v>155</v>
      </c>
      <c r="B86" s="52" t="s">
        <v>77</v>
      </c>
      <c r="C86" s="52" t="s">
        <v>73</v>
      </c>
    </row>
    <row r="87" spans="1:3" x14ac:dyDescent="0.25">
      <c r="A87" s="52" t="s">
        <v>156</v>
      </c>
      <c r="B87" s="52" t="s">
        <v>77</v>
      </c>
      <c r="C87" s="52" t="s">
        <v>73</v>
      </c>
    </row>
    <row r="88" spans="1:3" x14ac:dyDescent="0.25">
      <c r="A88" s="52" t="s">
        <v>157</v>
      </c>
      <c r="B88" s="52" t="s">
        <v>77</v>
      </c>
      <c r="C88" s="52" t="s">
        <v>73</v>
      </c>
    </row>
    <row r="89" spans="1:3" x14ac:dyDescent="0.25">
      <c r="A89" s="52" t="s">
        <v>158</v>
      </c>
      <c r="B89" s="52" t="s">
        <v>77</v>
      </c>
      <c r="C89" s="52" t="s">
        <v>73</v>
      </c>
    </row>
    <row r="90" spans="1:3" x14ac:dyDescent="0.25">
      <c r="A90" s="52" t="s">
        <v>159</v>
      </c>
      <c r="B90" s="52" t="s">
        <v>77</v>
      </c>
      <c r="C90" s="52" t="s">
        <v>73</v>
      </c>
    </row>
    <row r="91" spans="1:3" x14ac:dyDescent="0.25">
      <c r="A91" s="52" t="s">
        <v>160</v>
      </c>
      <c r="B91" s="52" t="s">
        <v>77</v>
      </c>
      <c r="C91" s="52" t="s">
        <v>73</v>
      </c>
    </row>
    <row r="92" spans="1:3" x14ac:dyDescent="0.25">
      <c r="A92" s="52" t="s">
        <v>161</v>
      </c>
      <c r="B92" s="52" t="s">
        <v>77</v>
      </c>
      <c r="C92" s="52" t="s">
        <v>73</v>
      </c>
    </row>
    <row r="93" spans="1:3" x14ac:dyDescent="0.25">
      <c r="A93" s="52" t="s">
        <v>162</v>
      </c>
      <c r="B93" s="52" t="s">
        <v>77</v>
      </c>
      <c r="C93" s="52" t="s">
        <v>73</v>
      </c>
    </row>
    <row r="94" spans="1:3" x14ac:dyDescent="0.25">
      <c r="A94" s="52" t="s">
        <v>163</v>
      </c>
      <c r="B94" s="52" t="s">
        <v>77</v>
      </c>
      <c r="C94" s="52" t="s">
        <v>73</v>
      </c>
    </row>
    <row r="95" spans="1:3" x14ac:dyDescent="0.25">
      <c r="A95" s="52" t="s">
        <v>164</v>
      </c>
      <c r="B95" s="52" t="s">
        <v>77</v>
      </c>
      <c r="C95" s="52" t="s">
        <v>73</v>
      </c>
    </row>
    <row r="96" spans="1:3" x14ac:dyDescent="0.25">
      <c r="A96" s="52" t="s">
        <v>165</v>
      </c>
      <c r="B96" s="52" t="s">
        <v>77</v>
      </c>
      <c r="C96" s="52" t="s">
        <v>73</v>
      </c>
    </row>
    <row r="97" spans="1:3" x14ac:dyDescent="0.25">
      <c r="A97" s="52" t="s">
        <v>166</v>
      </c>
      <c r="B97" s="52" t="s">
        <v>77</v>
      </c>
      <c r="C97" s="52" t="s">
        <v>73</v>
      </c>
    </row>
    <row r="98" spans="1:3" x14ac:dyDescent="0.25">
      <c r="A98" s="52" t="s">
        <v>167</v>
      </c>
      <c r="B98" s="52" t="s">
        <v>77</v>
      </c>
      <c r="C98" s="52" t="s">
        <v>73</v>
      </c>
    </row>
    <row r="99" spans="1:3" x14ac:dyDescent="0.25">
      <c r="A99" s="52" t="s">
        <v>168</v>
      </c>
      <c r="B99" s="52" t="s">
        <v>77</v>
      </c>
      <c r="C99" s="52" t="s">
        <v>73</v>
      </c>
    </row>
    <row r="100" spans="1:3" x14ac:dyDescent="0.25">
      <c r="A100" s="52" t="s">
        <v>169</v>
      </c>
      <c r="B100" s="52" t="s">
        <v>77</v>
      </c>
      <c r="C100" s="52" t="s">
        <v>73</v>
      </c>
    </row>
    <row r="101" spans="1:3" x14ac:dyDescent="0.25">
      <c r="A101" s="52" t="s">
        <v>170</v>
      </c>
      <c r="B101" s="52" t="s">
        <v>77</v>
      </c>
      <c r="C101" s="52" t="s">
        <v>73</v>
      </c>
    </row>
    <row r="102" spans="1:3" x14ac:dyDescent="0.25">
      <c r="A102" s="52" t="s">
        <v>171</v>
      </c>
      <c r="B102" s="52" t="s">
        <v>77</v>
      </c>
      <c r="C102" s="52" t="s">
        <v>73</v>
      </c>
    </row>
    <row r="103" spans="1:3" x14ac:dyDescent="0.25">
      <c r="A103" s="52" t="s">
        <v>172</v>
      </c>
      <c r="B103" s="52" t="s">
        <v>77</v>
      </c>
      <c r="C103" s="52" t="s">
        <v>73</v>
      </c>
    </row>
    <row r="104" spans="1:3" x14ac:dyDescent="0.25">
      <c r="A104" s="52" t="s">
        <v>173</v>
      </c>
      <c r="B104" s="56" t="s">
        <v>77</v>
      </c>
      <c r="C104" s="52" t="s">
        <v>73</v>
      </c>
    </row>
    <row r="105" spans="1:3" x14ac:dyDescent="0.25">
      <c r="A105" s="52" t="s">
        <v>174</v>
      </c>
      <c r="B105" s="56" t="s">
        <v>77</v>
      </c>
      <c r="C105" s="52" t="s">
        <v>73</v>
      </c>
    </row>
    <row r="106" spans="1:3" x14ac:dyDescent="0.25">
      <c r="A106" s="52" t="s">
        <v>175</v>
      </c>
      <c r="B106" s="56" t="s">
        <v>77</v>
      </c>
      <c r="C106" s="52" t="s">
        <v>73</v>
      </c>
    </row>
    <row r="107" spans="1:3" x14ac:dyDescent="0.25">
      <c r="A107" s="52" t="s">
        <v>176</v>
      </c>
      <c r="B107" s="56" t="s">
        <v>77</v>
      </c>
      <c r="C107" s="52" t="s">
        <v>73</v>
      </c>
    </row>
    <row r="108" spans="1:3" x14ac:dyDescent="0.25">
      <c r="A108" s="52" t="s">
        <v>177</v>
      </c>
      <c r="B108" s="56" t="s">
        <v>77</v>
      </c>
      <c r="C108" s="52" t="s">
        <v>73</v>
      </c>
    </row>
    <row r="109" spans="1:3" x14ac:dyDescent="0.25">
      <c r="A109" s="52" t="s">
        <v>178</v>
      </c>
      <c r="B109" s="56" t="s">
        <v>77</v>
      </c>
      <c r="C109" s="52" t="s">
        <v>73</v>
      </c>
    </row>
    <row r="110" spans="1:3" x14ac:dyDescent="0.25">
      <c r="A110" s="52" t="s">
        <v>179</v>
      </c>
      <c r="B110" s="56" t="s">
        <v>77</v>
      </c>
      <c r="C110" s="52" t="s">
        <v>73</v>
      </c>
    </row>
    <row r="111" spans="1:3" x14ac:dyDescent="0.25">
      <c r="A111" s="52" t="s">
        <v>180</v>
      </c>
      <c r="B111" s="56" t="s">
        <v>77</v>
      </c>
      <c r="C111" s="52" t="s">
        <v>73</v>
      </c>
    </row>
    <row r="112" spans="1:3" x14ac:dyDescent="0.25">
      <c r="A112" s="52" t="s">
        <v>181</v>
      </c>
      <c r="B112" s="56" t="s">
        <v>77</v>
      </c>
      <c r="C112" s="52" t="s">
        <v>73</v>
      </c>
    </row>
    <row r="113" spans="1:3" x14ac:dyDescent="0.25">
      <c r="A113" s="52" t="s">
        <v>182</v>
      </c>
      <c r="B113" s="56" t="s">
        <v>77</v>
      </c>
      <c r="C113" s="52" t="s">
        <v>73</v>
      </c>
    </row>
    <row r="114" spans="1:3" x14ac:dyDescent="0.25">
      <c r="A114" s="52" t="s">
        <v>183</v>
      </c>
      <c r="B114" s="56" t="s">
        <v>77</v>
      </c>
      <c r="C114" s="52" t="s">
        <v>73</v>
      </c>
    </row>
    <row r="115" spans="1:3" x14ac:dyDescent="0.25">
      <c r="A115" s="52" t="s">
        <v>184</v>
      </c>
      <c r="B115" s="56" t="s">
        <v>77</v>
      </c>
      <c r="C115" s="52" t="s">
        <v>73</v>
      </c>
    </row>
    <row r="116" spans="1:3" x14ac:dyDescent="0.25">
      <c r="A116" s="52" t="s">
        <v>185</v>
      </c>
      <c r="B116" s="56" t="s">
        <v>77</v>
      </c>
      <c r="C116" s="52" t="s">
        <v>73</v>
      </c>
    </row>
    <row r="117" spans="1:3" x14ac:dyDescent="0.25">
      <c r="A117" s="52" t="s">
        <v>186</v>
      </c>
      <c r="B117" s="56" t="s">
        <v>77</v>
      </c>
      <c r="C117" s="52" t="s">
        <v>73</v>
      </c>
    </row>
    <row r="118" spans="1:3" x14ac:dyDescent="0.25">
      <c r="A118" s="52" t="s">
        <v>187</v>
      </c>
      <c r="B118" s="56" t="s">
        <v>77</v>
      </c>
      <c r="C118" s="52" t="s">
        <v>73</v>
      </c>
    </row>
    <row r="119" spans="1:3" x14ac:dyDescent="0.25">
      <c r="A119" s="52" t="s">
        <v>188</v>
      </c>
      <c r="B119" s="56" t="s">
        <v>77</v>
      </c>
      <c r="C119" s="52" t="s">
        <v>73</v>
      </c>
    </row>
    <row r="120" spans="1:3" x14ac:dyDescent="0.25">
      <c r="A120" s="52" t="s">
        <v>189</v>
      </c>
      <c r="B120" s="56" t="s">
        <v>77</v>
      </c>
      <c r="C120" s="52" t="s">
        <v>73</v>
      </c>
    </row>
    <row r="121" spans="1:3" x14ac:dyDescent="0.25">
      <c r="A121" s="52" t="s">
        <v>190</v>
      </c>
      <c r="B121" s="56" t="s">
        <v>77</v>
      </c>
      <c r="C121" s="52" t="s">
        <v>73</v>
      </c>
    </row>
    <row r="122" spans="1:3" x14ac:dyDescent="0.25">
      <c r="A122" s="52" t="s">
        <v>191</v>
      </c>
      <c r="B122" s="56" t="s">
        <v>77</v>
      </c>
      <c r="C122" s="52" t="s">
        <v>73</v>
      </c>
    </row>
    <row r="123" spans="1:3" x14ac:dyDescent="0.25">
      <c r="A123" s="52" t="s">
        <v>192</v>
      </c>
      <c r="B123" s="56" t="s">
        <v>77</v>
      </c>
      <c r="C123" s="52" t="s">
        <v>73</v>
      </c>
    </row>
    <row r="124" spans="1:3" x14ac:dyDescent="0.25">
      <c r="A124" s="52" t="s">
        <v>193</v>
      </c>
      <c r="B124" s="56" t="s">
        <v>77</v>
      </c>
      <c r="C124" s="52" t="s">
        <v>73</v>
      </c>
    </row>
    <row r="125" spans="1:3" x14ac:dyDescent="0.25">
      <c r="A125" s="52" t="s">
        <v>194</v>
      </c>
      <c r="B125" s="56" t="s">
        <v>77</v>
      </c>
      <c r="C125" s="52" t="s">
        <v>73</v>
      </c>
    </row>
    <row r="126" spans="1:3" x14ac:dyDescent="0.25">
      <c r="A126" s="52" t="s">
        <v>195</v>
      </c>
      <c r="B126" s="56" t="s">
        <v>77</v>
      </c>
      <c r="C126" s="52" t="s">
        <v>73</v>
      </c>
    </row>
    <row r="127" spans="1:3" x14ac:dyDescent="0.25">
      <c r="A127" s="52" t="s">
        <v>196</v>
      </c>
      <c r="B127" s="56" t="s">
        <v>77</v>
      </c>
      <c r="C127" s="52" t="s">
        <v>73</v>
      </c>
    </row>
    <row r="128" spans="1:3" x14ac:dyDescent="0.25">
      <c r="A128" s="52" t="s">
        <v>197</v>
      </c>
      <c r="B128" s="56" t="s">
        <v>77</v>
      </c>
      <c r="C128" s="52" t="s">
        <v>73</v>
      </c>
    </row>
    <row r="129" spans="1:3" x14ac:dyDescent="0.25">
      <c r="A129" s="52" t="s">
        <v>198</v>
      </c>
      <c r="B129" s="56" t="s">
        <v>77</v>
      </c>
      <c r="C129" s="52" t="s">
        <v>73</v>
      </c>
    </row>
    <row r="130" spans="1:3" x14ac:dyDescent="0.25">
      <c r="A130" s="52" t="s">
        <v>199</v>
      </c>
      <c r="B130" s="56" t="s">
        <v>77</v>
      </c>
      <c r="C130" s="52" t="s">
        <v>73</v>
      </c>
    </row>
    <row r="131" spans="1:3" x14ac:dyDescent="0.25">
      <c r="A131" s="52" t="s">
        <v>200</v>
      </c>
      <c r="B131" s="56" t="s">
        <v>77</v>
      </c>
      <c r="C131" s="52" t="s">
        <v>73</v>
      </c>
    </row>
    <row r="132" spans="1:3" x14ac:dyDescent="0.25">
      <c r="A132" s="52" t="s">
        <v>201</v>
      </c>
      <c r="B132" s="56" t="s">
        <v>77</v>
      </c>
      <c r="C132" s="52" t="s">
        <v>73</v>
      </c>
    </row>
    <row r="133" spans="1:3" x14ac:dyDescent="0.25">
      <c r="A133" s="52" t="s">
        <v>202</v>
      </c>
      <c r="B133" s="56" t="s">
        <v>77</v>
      </c>
      <c r="C133" s="52" t="s">
        <v>73</v>
      </c>
    </row>
    <row r="134" spans="1:3" x14ac:dyDescent="0.25">
      <c r="A134" s="52" t="s">
        <v>203</v>
      </c>
      <c r="B134" s="56" t="s">
        <v>77</v>
      </c>
      <c r="C134" s="52" t="s">
        <v>73</v>
      </c>
    </row>
    <row r="135" spans="1:3" x14ac:dyDescent="0.25">
      <c r="A135" s="52" t="s">
        <v>204</v>
      </c>
      <c r="B135" s="56" t="s">
        <v>77</v>
      </c>
      <c r="C135" s="52" t="s">
        <v>73</v>
      </c>
    </row>
    <row r="136" spans="1:3" x14ac:dyDescent="0.25">
      <c r="A136" s="52" t="s">
        <v>205</v>
      </c>
      <c r="B136" s="56" t="s">
        <v>77</v>
      </c>
      <c r="C136" s="52" t="s">
        <v>73</v>
      </c>
    </row>
    <row r="137" spans="1:3" x14ac:dyDescent="0.25">
      <c r="A137" s="52" t="s">
        <v>206</v>
      </c>
      <c r="B137" s="56" t="s">
        <v>77</v>
      </c>
      <c r="C137" s="52" t="s">
        <v>73</v>
      </c>
    </row>
    <row r="138" spans="1:3" x14ac:dyDescent="0.25">
      <c r="A138" s="52" t="s">
        <v>207</v>
      </c>
      <c r="B138" s="56" t="s">
        <v>77</v>
      </c>
      <c r="C138" s="52" t="s">
        <v>73</v>
      </c>
    </row>
    <row r="139" spans="1:3" x14ac:dyDescent="0.25">
      <c r="A139" s="52" t="s">
        <v>208</v>
      </c>
      <c r="B139" s="56" t="s">
        <v>77</v>
      </c>
      <c r="C139" s="52" t="s">
        <v>73</v>
      </c>
    </row>
    <row r="140" spans="1:3" x14ac:dyDescent="0.25">
      <c r="A140" s="52" t="s">
        <v>209</v>
      </c>
      <c r="B140" s="56" t="s">
        <v>77</v>
      </c>
      <c r="C140" s="52" t="s">
        <v>73</v>
      </c>
    </row>
    <row r="141" spans="1:3" x14ac:dyDescent="0.25">
      <c r="A141" s="52" t="s">
        <v>210</v>
      </c>
      <c r="B141" s="56" t="s">
        <v>77</v>
      </c>
      <c r="C141" s="52" t="s">
        <v>73</v>
      </c>
    </row>
    <row r="142" spans="1:3" x14ac:dyDescent="0.25">
      <c r="A142" s="52" t="s">
        <v>211</v>
      </c>
      <c r="B142" s="56" t="s">
        <v>77</v>
      </c>
      <c r="C142" s="52" t="s">
        <v>73</v>
      </c>
    </row>
    <row r="143" spans="1:3" x14ac:dyDescent="0.25">
      <c r="A143" s="52" t="s">
        <v>212</v>
      </c>
      <c r="B143" s="56" t="s">
        <v>77</v>
      </c>
      <c r="C143" s="52" t="s">
        <v>73</v>
      </c>
    </row>
    <row r="144" spans="1:3" x14ac:dyDescent="0.25">
      <c r="A144" s="52" t="s">
        <v>213</v>
      </c>
      <c r="B144" s="56" t="s">
        <v>77</v>
      </c>
      <c r="C144" s="52" t="s">
        <v>73</v>
      </c>
    </row>
    <row r="145" spans="1:3" x14ac:dyDescent="0.25">
      <c r="A145" s="52" t="s">
        <v>214</v>
      </c>
      <c r="B145" s="56" t="s">
        <v>77</v>
      </c>
      <c r="C145" s="52" t="s">
        <v>73</v>
      </c>
    </row>
    <row r="146" spans="1:3" x14ac:dyDescent="0.25">
      <c r="A146" s="52" t="s">
        <v>215</v>
      </c>
      <c r="B146" s="56" t="s">
        <v>77</v>
      </c>
      <c r="C146" s="52" t="s">
        <v>73</v>
      </c>
    </row>
    <row r="147" spans="1:3" x14ac:dyDescent="0.25">
      <c r="A147" s="52" t="s">
        <v>216</v>
      </c>
      <c r="B147" s="56" t="s">
        <v>77</v>
      </c>
      <c r="C147" s="52" t="s">
        <v>73</v>
      </c>
    </row>
    <row r="148" spans="1:3" x14ac:dyDescent="0.25">
      <c r="A148" s="52" t="s">
        <v>217</v>
      </c>
      <c r="B148" s="56" t="s">
        <v>77</v>
      </c>
      <c r="C148" s="52" t="s">
        <v>73</v>
      </c>
    </row>
    <row r="149" spans="1:3" x14ac:dyDescent="0.25">
      <c r="A149" s="52" t="s">
        <v>218</v>
      </c>
      <c r="B149" s="56" t="s">
        <v>77</v>
      </c>
      <c r="C149" s="52" t="s">
        <v>73</v>
      </c>
    </row>
    <row r="150" spans="1:3" x14ac:dyDescent="0.25">
      <c r="A150" s="52" t="s">
        <v>219</v>
      </c>
      <c r="B150" s="56" t="s">
        <v>77</v>
      </c>
      <c r="C150" s="52" t="s">
        <v>73</v>
      </c>
    </row>
    <row r="151" spans="1:3" x14ac:dyDescent="0.25">
      <c r="A151" s="52" t="s">
        <v>220</v>
      </c>
      <c r="B151" s="56" t="s">
        <v>77</v>
      </c>
      <c r="C151" s="52" t="s">
        <v>73</v>
      </c>
    </row>
    <row r="152" spans="1:3" x14ac:dyDescent="0.25">
      <c r="A152" s="52" t="s">
        <v>221</v>
      </c>
      <c r="B152" s="56" t="s">
        <v>77</v>
      </c>
      <c r="C152" s="52" t="s">
        <v>73</v>
      </c>
    </row>
    <row r="153" spans="1:3" x14ac:dyDescent="0.25">
      <c r="A153" s="52" t="s">
        <v>222</v>
      </c>
      <c r="B153" s="56" t="s">
        <v>77</v>
      </c>
      <c r="C153" s="52" t="s">
        <v>73</v>
      </c>
    </row>
    <row r="154" spans="1:3" x14ac:dyDescent="0.25">
      <c r="A154" s="52" t="s">
        <v>223</v>
      </c>
      <c r="B154" s="56" t="s">
        <v>77</v>
      </c>
      <c r="C154" s="52" t="s">
        <v>73</v>
      </c>
    </row>
    <row r="155" spans="1:3" x14ac:dyDescent="0.25">
      <c r="A155" s="52" t="s">
        <v>224</v>
      </c>
      <c r="B155" s="56" t="s">
        <v>77</v>
      </c>
      <c r="C155" s="52" t="s">
        <v>73</v>
      </c>
    </row>
    <row r="156" spans="1:3" x14ac:dyDescent="0.25">
      <c r="A156" s="52" t="s">
        <v>225</v>
      </c>
      <c r="B156" s="56" t="s">
        <v>77</v>
      </c>
      <c r="C156" s="52" t="s">
        <v>73</v>
      </c>
    </row>
    <row r="157" spans="1:3" x14ac:dyDescent="0.25">
      <c r="A157" s="52" t="s">
        <v>226</v>
      </c>
      <c r="B157" s="56" t="s">
        <v>77</v>
      </c>
      <c r="C157" s="52" t="s">
        <v>73</v>
      </c>
    </row>
    <row r="158" spans="1:3" x14ac:dyDescent="0.25">
      <c r="A158" s="52" t="s">
        <v>227</v>
      </c>
      <c r="B158" s="56" t="s">
        <v>77</v>
      </c>
      <c r="C158" s="52" t="s">
        <v>73</v>
      </c>
    </row>
    <row r="159" spans="1:3" x14ac:dyDescent="0.25">
      <c r="A159" s="52" t="s">
        <v>228</v>
      </c>
      <c r="B159" s="56" t="s">
        <v>77</v>
      </c>
      <c r="C159" s="52" t="s">
        <v>73</v>
      </c>
    </row>
    <row r="160" spans="1:3" x14ac:dyDescent="0.25">
      <c r="A160" s="52" t="s">
        <v>229</v>
      </c>
      <c r="B160" s="56" t="s">
        <v>77</v>
      </c>
      <c r="C160" s="52" t="s">
        <v>73</v>
      </c>
    </row>
    <row r="161" spans="1:3" x14ac:dyDescent="0.25">
      <c r="A161" s="52" t="s">
        <v>230</v>
      </c>
      <c r="B161" s="56" t="s">
        <v>77</v>
      </c>
      <c r="C161" s="52" t="s">
        <v>73</v>
      </c>
    </row>
    <row r="162" spans="1:3" x14ac:dyDescent="0.25">
      <c r="A162" s="52" t="s">
        <v>231</v>
      </c>
      <c r="B162" s="56" t="s">
        <v>77</v>
      </c>
      <c r="C162" s="52" t="s">
        <v>73</v>
      </c>
    </row>
    <row r="163" spans="1:3" x14ac:dyDescent="0.25">
      <c r="A163" s="52" t="s">
        <v>232</v>
      </c>
      <c r="B163" s="56" t="s">
        <v>77</v>
      </c>
      <c r="C163" s="52" t="s">
        <v>73</v>
      </c>
    </row>
    <row r="164" spans="1:3" x14ac:dyDescent="0.25">
      <c r="A164" s="52" t="s">
        <v>233</v>
      </c>
      <c r="B164" s="56" t="s">
        <v>77</v>
      </c>
      <c r="C164" s="52" t="s">
        <v>73</v>
      </c>
    </row>
    <row r="165" spans="1:3" x14ac:dyDescent="0.25">
      <c r="A165" s="52" t="s">
        <v>234</v>
      </c>
      <c r="B165" s="56" t="s">
        <v>77</v>
      </c>
      <c r="C165" s="52" t="s">
        <v>73</v>
      </c>
    </row>
    <row r="166" spans="1:3" x14ac:dyDescent="0.25">
      <c r="A166" s="52" t="s">
        <v>235</v>
      </c>
      <c r="B166" s="56" t="s">
        <v>77</v>
      </c>
      <c r="C166" s="52" t="s">
        <v>73</v>
      </c>
    </row>
    <row r="167" spans="1:3" x14ac:dyDescent="0.25">
      <c r="A167" s="52" t="s">
        <v>236</v>
      </c>
      <c r="B167" s="56" t="s">
        <v>77</v>
      </c>
      <c r="C167" s="52" t="s">
        <v>73</v>
      </c>
    </row>
    <row r="168" spans="1:3" x14ac:dyDescent="0.25">
      <c r="A168" s="52" t="s">
        <v>237</v>
      </c>
      <c r="B168" s="56" t="s">
        <v>77</v>
      </c>
      <c r="C168" s="52" t="s">
        <v>73</v>
      </c>
    </row>
    <row r="169" spans="1:3" x14ac:dyDescent="0.25">
      <c r="A169" s="52" t="s">
        <v>238</v>
      </c>
      <c r="B169" s="56" t="s">
        <v>77</v>
      </c>
      <c r="C169" s="52" t="s">
        <v>73</v>
      </c>
    </row>
    <row r="170" spans="1:3" x14ac:dyDescent="0.25">
      <c r="A170" s="52" t="s">
        <v>239</v>
      </c>
      <c r="B170" s="56" t="s">
        <v>77</v>
      </c>
      <c r="C170" s="52" t="s">
        <v>73</v>
      </c>
    </row>
    <row r="171" spans="1:3" x14ac:dyDescent="0.25">
      <c r="A171" s="52" t="s">
        <v>240</v>
      </c>
      <c r="B171" s="56" t="s">
        <v>77</v>
      </c>
      <c r="C171" s="52" t="s">
        <v>73</v>
      </c>
    </row>
    <row r="172" spans="1:3" x14ac:dyDescent="0.25">
      <c r="A172" s="52" t="s">
        <v>241</v>
      </c>
      <c r="B172" s="56" t="s">
        <v>77</v>
      </c>
      <c r="C172" s="52" t="s">
        <v>73</v>
      </c>
    </row>
    <row r="173" spans="1:3" x14ac:dyDescent="0.25">
      <c r="A173" s="52" t="s">
        <v>242</v>
      </c>
      <c r="B173" s="56" t="s">
        <v>77</v>
      </c>
      <c r="C173" s="52" t="s">
        <v>73</v>
      </c>
    </row>
    <row r="174" spans="1:3" x14ac:dyDescent="0.25">
      <c r="A174" s="52" t="s">
        <v>243</v>
      </c>
      <c r="B174" s="56" t="s">
        <v>77</v>
      </c>
      <c r="C174" s="52" t="s">
        <v>73</v>
      </c>
    </row>
    <row r="175" spans="1:3" x14ac:dyDescent="0.25">
      <c r="A175" s="52" t="s">
        <v>244</v>
      </c>
      <c r="B175" s="56" t="s">
        <v>77</v>
      </c>
      <c r="C175" s="52" t="s">
        <v>73</v>
      </c>
    </row>
    <row r="176" spans="1:3" x14ac:dyDescent="0.25">
      <c r="A176" s="52" t="s">
        <v>245</v>
      </c>
      <c r="B176" s="56" t="s">
        <v>77</v>
      </c>
      <c r="C176" s="52" t="s">
        <v>73</v>
      </c>
    </row>
    <row r="177" spans="1:3" x14ac:dyDescent="0.25">
      <c r="A177" s="52" t="s">
        <v>246</v>
      </c>
      <c r="B177" s="56" t="s">
        <v>77</v>
      </c>
      <c r="C177" s="52" t="s">
        <v>73</v>
      </c>
    </row>
    <row r="178" spans="1:3" x14ac:dyDescent="0.25">
      <c r="A178" s="52" t="s">
        <v>247</v>
      </c>
      <c r="B178" s="56" t="s">
        <v>77</v>
      </c>
      <c r="C178" s="52" t="s">
        <v>73</v>
      </c>
    </row>
    <row r="179" spans="1:3" x14ac:dyDescent="0.25">
      <c r="A179" s="52" t="s">
        <v>248</v>
      </c>
      <c r="B179" s="56" t="s">
        <v>77</v>
      </c>
      <c r="C179" s="52" t="s">
        <v>73</v>
      </c>
    </row>
    <row r="180" spans="1:3" x14ac:dyDescent="0.25">
      <c r="A180" s="52" t="s">
        <v>249</v>
      </c>
      <c r="B180" s="56" t="s">
        <v>77</v>
      </c>
      <c r="C180" s="52" t="s">
        <v>73</v>
      </c>
    </row>
    <row r="181" spans="1:3" x14ac:dyDescent="0.25">
      <c r="A181" s="52" t="s">
        <v>250</v>
      </c>
      <c r="B181" s="56" t="s">
        <v>77</v>
      </c>
      <c r="C181" s="52" t="s">
        <v>73</v>
      </c>
    </row>
    <row r="182" spans="1:3" x14ac:dyDescent="0.25">
      <c r="A182" s="52" t="s">
        <v>251</v>
      </c>
      <c r="B182" s="56" t="s">
        <v>77</v>
      </c>
      <c r="C182" s="52" t="s">
        <v>73</v>
      </c>
    </row>
    <row r="183" spans="1:3" x14ac:dyDescent="0.25">
      <c r="A183" s="52" t="s">
        <v>252</v>
      </c>
      <c r="B183" s="56" t="s">
        <v>77</v>
      </c>
      <c r="C183" s="52" t="s">
        <v>73</v>
      </c>
    </row>
    <row r="184" spans="1:3" x14ac:dyDescent="0.25">
      <c r="A184" s="52" t="s">
        <v>253</v>
      </c>
      <c r="B184" s="56" t="s">
        <v>77</v>
      </c>
      <c r="C184" s="52" t="s">
        <v>73</v>
      </c>
    </row>
    <row r="185" spans="1:3" x14ac:dyDescent="0.25">
      <c r="A185" s="52" t="s">
        <v>254</v>
      </c>
      <c r="B185" s="56" t="s">
        <v>77</v>
      </c>
      <c r="C185" s="52" t="s">
        <v>73</v>
      </c>
    </row>
    <row r="186" spans="1:3" x14ac:dyDescent="0.25">
      <c r="A186" s="52" t="s">
        <v>255</v>
      </c>
      <c r="B186" s="56" t="s">
        <v>77</v>
      </c>
      <c r="C186" s="52" t="s">
        <v>73</v>
      </c>
    </row>
    <row r="187" spans="1:3" x14ac:dyDescent="0.25">
      <c r="A187" s="52" t="s">
        <v>256</v>
      </c>
      <c r="B187" s="56" t="s">
        <v>77</v>
      </c>
      <c r="C187" s="52" t="s">
        <v>73</v>
      </c>
    </row>
    <row r="188" spans="1:3" x14ac:dyDescent="0.25">
      <c r="A188" s="52" t="s">
        <v>257</v>
      </c>
      <c r="B188" s="56" t="s">
        <v>77</v>
      </c>
      <c r="C188" s="52" t="s">
        <v>73</v>
      </c>
    </row>
    <row r="189" spans="1:3" x14ac:dyDescent="0.25">
      <c r="A189" s="52" t="s">
        <v>258</v>
      </c>
      <c r="B189" s="56" t="s">
        <v>77</v>
      </c>
      <c r="C189" s="52" t="s">
        <v>73</v>
      </c>
    </row>
    <row r="190" spans="1:3" x14ac:dyDescent="0.25">
      <c r="A190" s="52" t="s">
        <v>259</v>
      </c>
      <c r="B190" s="56" t="s">
        <v>77</v>
      </c>
      <c r="C190" s="52" t="s">
        <v>73</v>
      </c>
    </row>
    <row r="191" spans="1:3" x14ac:dyDescent="0.25">
      <c r="A191" s="52" t="s">
        <v>260</v>
      </c>
      <c r="B191" s="56" t="s">
        <v>77</v>
      </c>
      <c r="C191" s="52" t="s">
        <v>73</v>
      </c>
    </row>
    <row r="192" spans="1:3" x14ac:dyDescent="0.25">
      <c r="A192" s="52" t="s">
        <v>261</v>
      </c>
      <c r="B192" s="56" t="s">
        <v>77</v>
      </c>
      <c r="C192" s="52" t="s">
        <v>73</v>
      </c>
    </row>
    <row r="193" spans="1:3" x14ac:dyDescent="0.25">
      <c r="A193" s="52" t="s">
        <v>262</v>
      </c>
      <c r="B193" s="56" t="s">
        <v>77</v>
      </c>
      <c r="C193" s="52" t="s">
        <v>73</v>
      </c>
    </row>
    <row r="194" spans="1:3" x14ac:dyDescent="0.25">
      <c r="A194" s="52" t="s">
        <v>263</v>
      </c>
      <c r="B194" s="56" t="s">
        <v>77</v>
      </c>
      <c r="C194" s="52" t="s">
        <v>73</v>
      </c>
    </row>
    <row r="195" spans="1:3" x14ac:dyDescent="0.25">
      <c r="A195" s="52" t="s">
        <v>264</v>
      </c>
      <c r="B195" s="56" t="s">
        <v>77</v>
      </c>
      <c r="C195" s="52" t="s">
        <v>73</v>
      </c>
    </row>
    <row r="196" spans="1:3" x14ac:dyDescent="0.25">
      <c r="A196" s="52" t="s">
        <v>265</v>
      </c>
      <c r="B196" s="56" t="s">
        <v>77</v>
      </c>
      <c r="C196" s="52" t="s">
        <v>73</v>
      </c>
    </row>
    <row r="197" spans="1:3" x14ac:dyDescent="0.25">
      <c r="A197" s="52" t="s">
        <v>266</v>
      </c>
      <c r="B197" s="56" t="s">
        <v>77</v>
      </c>
      <c r="C197" s="52" t="s">
        <v>73</v>
      </c>
    </row>
    <row r="198" spans="1:3" x14ac:dyDescent="0.25">
      <c r="A198" s="52" t="s">
        <v>267</v>
      </c>
      <c r="B198" s="56" t="s">
        <v>77</v>
      </c>
      <c r="C198" s="52" t="s">
        <v>73</v>
      </c>
    </row>
    <row r="199" spans="1:3" x14ac:dyDescent="0.25">
      <c r="A199" s="52" t="s">
        <v>268</v>
      </c>
      <c r="B199" s="56" t="s">
        <v>77</v>
      </c>
      <c r="C199" s="52" t="s">
        <v>73</v>
      </c>
    </row>
    <row r="200" spans="1:3" x14ac:dyDescent="0.25">
      <c r="A200" s="52" t="s">
        <v>269</v>
      </c>
      <c r="B200" s="56" t="s">
        <v>77</v>
      </c>
      <c r="C200" s="52" t="s">
        <v>73</v>
      </c>
    </row>
    <row r="201" spans="1:3" x14ac:dyDescent="0.25">
      <c r="A201" s="52" t="s">
        <v>270</v>
      </c>
      <c r="B201" s="56" t="s">
        <v>77</v>
      </c>
      <c r="C201" s="52" t="s">
        <v>73</v>
      </c>
    </row>
    <row r="202" spans="1:3" x14ac:dyDescent="0.25">
      <c r="A202" s="52" t="s">
        <v>271</v>
      </c>
      <c r="B202" s="56" t="s">
        <v>77</v>
      </c>
      <c r="C202" s="52" t="s">
        <v>73</v>
      </c>
    </row>
    <row r="203" spans="1:3" x14ac:dyDescent="0.25">
      <c r="A203" s="52" t="s">
        <v>272</v>
      </c>
      <c r="B203" s="56" t="s">
        <v>77</v>
      </c>
      <c r="C203" s="52" t="s">
        <v>73</v>
      </c>
    </row>
    <row r="204" spans="1:3" x14ac:dyDescent="0.25">
      <c r="A204" s="52" t="s">
        <v>273</v>
      </c>
      <c r="B204" s="56" t="s">
        <v>77</v>
      </c>
      <c r="C204" s="52" t="s">
        <v>73</v>
      </c>
    </row>
    <row r="205" spans="1:3" x14ac:dyDescent="0.25">
      <c r="A205" s="52" t="s">
        <v>274</v>
      </c>
      <c r="B205" s="56" t="s">
        <v>77</v>
      </c>
      <c r="C205" s="52" t="s">
        <v>73</v>
      </c>
    </row>
    <row r="206" spans="1:3" x14ac:dyDescent="0.25">
      <c r="A206" s="52" t="s">
        <v>275</v>
      </c>
      <c r="B206" s="56" t="s">
        <v>77</v>
      </c>
      <c r="C206" s="52" t="s">
        <v>73</v>
      </c>
    </row>
    <row r="207" spans="1:3" x14ac:dyDescent="0.25">
      <c r="A207" s="52" t="s">
        <v>276</v>
      </c>
      <c r="B207" s="56" t="s">
        <v>77</v>
      </c>
      <c r="C207" s="52" t="s">
        <v>73</v>
      </c>
    </row>
    <row r="208" spans="1:3" x14ac:dyDescent="0.25">
      <c r="A208" s="52" t="s">
        <v>277</v>
      </c>
      <c r="B208" s="56" t="s">
        <v>77</v>
      </c>
      <c r="C208" s="52" t="s">
        <v>73</v>
      </c>
    </row>
    <row r="209" spans="1:3" x14ac:dyDescent="0.25">
      <c r="A209" s="52" t="s">
        <v>278</v>
      </c>
      <c r="B209" s="56" t="s">
        <v>77</v>
      </c>
      <c r="C209" s="52" t="s">
        <v>73</v>
      </c>
    </row>
    <row r="210" spans="1:3" x14ac:dyDescent="0.25">
      <c r="A210" s="52" t="s">
        <v>279</v>
      </c>
      <c r="B210" s="56" t="s">
        <v>77</v>
      </c>
      <c r="C210" s="52" t="s">
        <v>73</v>
      </c>
    </row>
    <row r="211" spans="1:3" x14ac:dyDescent="0.25">
      <c r="A211" s="52" t="s">
        <v>280</v>
      </c>
      <c r="B211" s="56" t="s">
        <v>77</v>
      </c>
      <c r="C211" s="52" t="s">
        <v>73</v>
      </c>
    </row>
    <row r="212" spans="1:3" x14ac:dyDescent="0.25">
      <c r="A212" s="52" t="s">
        <v>281</v>
      </c>
      <c r="B212" s="56" t="s">
        <v>77</v>
      </c>
      <c r="C212" s="52" t="s">
        <v>73</v>
      </c>
    </row>
    <row r="213" spans="1:3" x14ac:dyDescent="0.25">
      <c r="A213" s="52" t="s">
        <v>282</v>
      </c>
      <c r="B213" s="56" t="s">
        <v>77</v>
      </c>
      <c r="C213" s="52" t="s">
        <v>73</v>
      </c>
    </row>
    <row r="214" spans="1:3" x14ac:dyDescent="0.25">
      <c r="A214" s="52" t="s">
        <v>283</v>
      </c>
      <c r="B214" s="56" t="s">
        <v>77</v>
      </c>
      <c r="C214" s="52" t="s">
        <v>73</v>
      </c>
    </row>
    <row r="215" spans="1:3" x14ac:dyDescent="0.25">
      <c r="A215" s="52" t="s">
        <v>284</v>
      </c>
      <c r="B215" s="56" t="s">
        <v>77</v>
      </c>
      <c r="C215" s="52" t="s">
        <v>73</v>
      </c>
    </row>
    <row r="216" spans="1:3" x14ac:dyDescent="0.25">
      <c r="A216" s="52" t="s">
        <v>285</v>
      </c>
      <c r="B216" s="56" t="s">
        <v>77</v>
      </c>
      <c r="C216" s="52" t="s">
        <v>73</v>
      </c>
    </row>
    <row r="217" spans="1:3" x14ac:dyDescent="0.25">
      <c r="A217" s="52" t="s">
        <v>286</v>
      </c>
      <c r="B217" s="56" t="s">
        <v>77</v>
      </c>
      <c r="C217" s="52" t="s">
        <v>73</v>
      </c>
    </row>
    <row r="218" spans="1:3" x14ac:dyDescent="0.25">
      <c r="A218" s="52" t="s">
        <v>287</v>
      </c>
      <c r="B218" s="56" t="s">
        <v>77</v>
      </c>
      <c r="C218" s="52" t="s">
        <v>73</v>
      </c>
    </row>
    <row r="219" spans="1:3" x14ac:dyDescent="0.25">
      <c r="A219" s="52" t="s">
        <v>288</v>
      </c>
      <c r="B219" s="56" t="s">
        <v>77</v>
      </c>
      <c r="C219" s="52" t="s">
        <v>73</v>
      </c>
    </row>
    <row r="220" spans="1:3" x14ac:dyDescent="0.25">
      <c r="A220" s="52" t="s">
        <v>289</v>
      </c>
      <c r="B220" s="56" t="s">
        <v>77</v>
      </c>
      <c r="C220" s="52" t="s">
        <v>73</v>
      </c>
    </row>
    <row r="221" spans="1:3" x14ac:dyDescent="0.25">
      <c r="A221" s="52" t="s">
        <v>290</v>
      </c>
      <c r="B221" s="56" t="s">
        <v>77</v>
      </c>
      <c r="C221" s="52" t="s">
        <v>73</v>
      </c>
    </row>
    <row r="222" spans="1:3" x14ac:dyDescent="0.25">
      <c r="A222" s="52" t="s">
        <v>291</v>
      </c>
      <c r="B222" s="56" t="s">
        <v>77</v>
      </c>
      <c r="C222" s="52" t="s">
        <v>73</v>
      </c>
    </row>
    <row r="223" spans="1:3" x14ac:dyDescent="0.25">
      <c r="A223" s="52" t="s">
        <v>292</v>
      </c>
      <c r="B223" s="56" t="s">
        <v>77</v>
      </c>
      <c r="C223" s="52" t="s">
        <v>73</v>
      </c>
    </row>
    <row r="224" spans="1:3" x14ac:dyDescent="0.25">
      <c r="A224" s="52" t="s">
        <v>293</v>
      </c>
      <c r="B224" s="56" t="s">
        <v>77</v>
      </c>
      <c r="C224" s="52" t="s">
        <v>73</v>
      </c>
    </row>
    <row r="225" spans="1:3" x14ac:dyDescent="0.25">
      <c r="A225" s="52" t="s">
        <v>294</v>
      </c>
      <c r="B225" s="56" t="s">
        <v>77</v>
      </c>
      <c r="C225" s="52" t="s">
        <v>73</v>
      </c>
    </row>
    <row r="226" spans="1:3" x14ac:dyDescent="0.25">
      <c r="A226" s="52" t="s">
        <v>295</v>
      </c>
      <c r="B226" s="56" t="s">
        <v>77</v>
      </c>
      <c r="C226" s="52" t="s">
        <v>73</v>
      </c>
    </row>
    <row r="227" spans="1:3" x14ac:dyDescent="0.25">
      <c r="A227" s="52" t="s">
        <v>296</v>
      </c>
      <c r="B227" s="56" t="s">
        <v>77</v>
      </c>
      <c r="C227" s="52" t="s">
        <v>73</v>
      </c>
    </row>
    <row r="228" spans="1:3" x14ac:dyDescent="0.25">
      <c r="A228" s="52" t="s">
        <v>297</v>
      </c>
      <c r="B228" s="56" t="s">
        <v>77</v>
      </c>
      <c r="C228" s="52" t="s">
        <v>73</v>
      </c>
    </row>
    <row r="229" spans="1:3" x14ac:dyDescent="0.25">
      <c r="A229" s="52" t="s">
        <v>298</v>
      </c>
      <c r="B229" s="56" t="s">
        <v>77</v>
      </c>
      <c r="C229" s="52" t="s">
        <v>73</v>
      </c>
    </row>
    <row r="230" spans="1:3" x14ac:dyDescent="0.25">
      <c r="A230" s="52" t="s">
        <v>299</v>
      </c>
      <c r="B230" s="56" t="s">
        <v>77</v>
      </c>
      <c r="C230" s="52" t="s">
        <v>73</v>
      </c>
    </row>
    <row r="231" spans="1:3" x14ac:dyDescent="0.25">
      <c r="A231" s="52" t="s">
        <v>300</v>
      </c>
      <c r="B231" s="56" t="s">
        <v>77</v>
      </c>
      <c r="C231" s="52" t="s">
        <v>73</v>
      </c>
    </row>
    <row r="232" spans="1:3" x14ac:dyDescent="0.25">
      <c r="A232" s="52" t="s">
        <v>301</v>
      </c>
      <c r="B232" s="56" t="s">
        <v>77</v>
      </c>
      <c r="C232" s="52" t="s">
        <v>73</v>
      </c>
    </row>
    <row r="233" spans="1:3" x14ac:dyDescent="0.25">
      <c r="A233" s="52" t="s">
        <v>302</v>
      </c>
      <c r="B233" s="56" t="s">
        <v>77</v>
      </c>
      <c r="C233" s="52" t="s">
        <v>73</v>
      </c>
    </row>
    <row r="234" spans="1:3" x14ac:dyDescent="0.25">
      <c r="A234" s="52" t="s">
        <v>303</v>
      </c>
      <c r="B234" s="56" t="s">
        <v>77</v>
      </c>
      <c r="C234" s="52" t="s">
        <v>73</v>
      </c>
    </row>
    <row r="235" spans="1:3" x14ac:dyDescent="0.25">
      <c r="A235" s="52" t="s">
        <v>304</v>
      </c>
      <c r="B235" s="56" t="s">
        <v>77</v>
      </c>
      <c r="C235" s="52" t="s">
        <v>73</v>
      </c>
    </row>
    <row r="236" spans="1:3" x14ac:dyDescent="0.25">
      <c r="A236" s="52" t="s">
        <v>305</v>
      </c>
      <c r="B236" s="56" t="s">
        <v>77</v>
      </c>
      <c r="C236" s="52" t="s">
        <v>73</v>
      </c>
    </row>
    <row r="237" spans="1:3" x14ac:dyDescent="0.25">
      <c r="A237" s="52" t="s">
        <v>306</v>
      </c>
      <c r="B237" s="56" t="s">
        <v>77</v>
      </c>
      <c r="C237" s="52" t="s">
        <v>73</v>
      </c>
    </row>
    <row r="238" spans="1:3" x14ac:dyDescent="0.25">
      <c r="A238" s="52" t="s">
        <v>307</v>
      </c>
      <c r="B238" s="56" t="s">
        <v>77</v>
      </c>
      <c r="C238" s="52" t="s">
        <v>73</v>
      </c>
    </row>
    <row r="239" spans="1:3" x14ac:dyDescent="0.25">
      <c r="A239" s="52" t="s">
        <v>308</v>
      </c>
      <c r="B239" s="56" t="s">
        <v>77</v>
      </c>
      <c r="C239" s="52" t="s">
        <v>73</v>
      </c>
    </row>
    <row r="240" spans="1:3" x14ac:dyDescent="0.25">
      <c r="A240" s="52" t="s">
        <v>309</v>
      </c>
      <c r="B240" s="56" t="s">
        <v>77</v>
      </c>
      <c r="C240" s="52" t="s">
        <v>73</v>
      </c>
    </row>
    <row r="241" spans="1:3" x14ac:dyDescent="0.25">
      <c r="A241" s="52" t="s">
        <v>310</v>
      </c>
      <c r="B241" s="56" t="s">
        <v>77</v>
      </c>
      <c r="C241" s="52" t="s">
        <v>73</v>
      </c>
    </row>
    <row r="242" spans="1:3" x14ac:dyDescent="0.25">
      <c r="A242" s="52" t="s">
        <v>311</v>
      </c>
      <c r="B242" s="56" t="s">
        <v>77</v>
      </c>
      <c r="C242" s="52" t="s">
        <v>73</v>
      </c>
    </row>
    <row r="243" spans="1:3" x14ac:dyDescent="0.25">
      <c r="A243" s="52" t="s">
        <v>312</v>
      </c>
      <c r="B243" s="56" t="s">
        <v>77</v>
      </c>
      <c r="C243" s="52" t="s">
        <v>73</v>
      </c>
    </row>
    <row r="244" spans="1:3" x14ac:dyDescent="0.25">
      <c r="A244" s="52" t="s">
        <v>313</v>
      </c>
      <c r="B244" s="56" t="s">
        <v>77</v>
      </c>
      <c r="C244" s="52" t="s">
        <v>73</v>
      </c>
    </row>
    <row r="245" spans="1:3" x14ac:dyDescent="0.25">
      <c r="A245" s="52" t="s">
        <v>314</v>
      </c>
      <c r="B245" s="56" t="s">
        <v>77</v>
      </c>
      <c r="C245" s="52" t="s">
        <v>73</v>
      </c>
    </row>
    <row r="246" spans="1:3" x14ac:dyDescent="0.25">
      <c r="A246" s="52" t="s">
        <v>315</v>
      </c>
      <c r="B246" s="56" t="s">
        <v>77</v>
      </c>
      <c r="C246" s="52" t="s">
        <v>73</v>
      </c>
    </row>
    <row r="247" spans="1:3" x14ac:dyDescent="0.25">
      <c r="A247" s="52" t="s">
        <v>316</v>
      </c>
      <c r="B247" s="56" t="s">
        <v>77</v>
      </c>
      <c r="C247" s="52" t="s">
        <v>73</v>
      </c>
    </row>
    <row r="248" spans="1:3" x14ac:dyDescent="0.25">
      <c r="A248" s="52" t="s">
        <v>317</v>
      </c>
      <c r="B248" s="56" t="s">
        <v>77</v>
      </c>
      <c r="C248" s="52" t="s">
        <v>73</v>
      </c>
    </row>
    <row r="249" spans="1:3" x14ac:dyDescent="0.25">
      <c r="A249" s="52" t="s">
        <v>318</v>
      </c>
      <c r="B249" s="56" t="s">
        <v>77</v>
      </c>
      <c r="C249" s="52" t="s">
        <v>73</v>
      </c>
    </row>
    <row r="250" spans="1:3" x14ac:dyDescent="0.25">
      <c r="A250" s="52" t="s">
        <v>319</v>
      </c>
      <c r="B250" s="56" t="s">
        <v>77</v>
      </c>
      <c r="C250" s="52" t="s">
        <v>73</v>
      </c>
    </row>
    <row r="251" spans="1:3" x14ac:dyDescent="0.25">
      <c r="A251" s="52" t="s">
        <v>320</v>
      </c>
      <c r="B251" s="56" t="s">
        <v>77</v>
      </c>
      <c r="C251" s="52" t="s">
        <v>73</v>
      </c>
    </row>
    <row r="252" spans="1:3" x14ac:dyDescent="0.25">
      <c r="A252" s="52" t="s">
        <v>321</v>
      </c>
      <c r="B252" s="56" t="s">
        <v>77</v>
      </c>
      <c r="C252" s="52" t="s">
        <v>73</v>
      </c>
    </row>
    <row r="253" spans="1:3" x14ac:dyDescent="0.25">
      <c r="A253" s="52" t="s">
        <v>322</v>
      </c>
      <c r="B253" s="56" t="s">
        <v>77</v>
      </c>
      <c r="C253" s="52" t="s">
        <v>73</v>
      </c>
    </row>
    <row r="254" spans="1:3" x14ac:dyDescent="0.25">
      <c r="A254" s="52" t="s">
        <v>323</v>
      </c>
      <c r="B254" s="56" t="s">
        <v>77</v>
      </c>
      <c r="C254" s="52" t="s">
        <v>73</v>
      </c>
    </row>
    <row r="255" spans="1:3" x14ac:dyDescent="0.25">
      <c r="A255" s="52" t="s">
        <v>324</v>
      </c>
      <c r="B255" s="56" t="s">
        <v>77</v>
      </c>
      <c r="C255" s="52" t="s">
        <v>73</v>
      </c>
    </row>
    <row r="256" spans="1:3" x14ac:dyDescent="0.25">
      <c r="A256" s="52" t="s">
        <v>325</v>
      </c>
      <c r="B256" s="56" t="s">
        <v>77</v>
      </c>
      <c r="C256" s="52" t="s">
        <v>73</v>
      </c>
    </row>
    <row r="257" spans="1:3" x14ac:dyDescent="0.25">
      <c r="A257" s="52" t="s">
        <v>326</v>
      </c>
      <c r="B257" s="56" t="s">
        <v>77</v>
      </c>
      <c r="C257" s="52" t="s">
        <v>73</v>
      </c>
    </row>
    <row r="258" spans="1:3" x14ac:dyDescent="0.25">
      <c r="A258" s="52" t="s">
        <v>327</v>
      </c>
      <c r="B258" s="56" t="s">
        <v>77</v>
      </c>
      <c r="C258" s="52" t="s">
        <v>73</v>
      </c>
    </row>
    <row r="259" spans="1:3" x14ac:dyDescent="0.25">
      <c r="A259" s="52" t="s">
        <v>328</v>
      </c>
      <c r="B259" s="56" t="s">
        <v>77</v>
      </c>
      <c r="C259" s="52" t="s">
        <v>73</v>
      </c>
    </row>
    <row r="260" spans="1:3" x14ac:dyDescent="0.25">
      <c r="A260" s="52" t="s">
        <v>329</v>
      </c>
      <c r="B260" s="56" t="s">
        <v>77</v>
      </c>
      <c r="C260" s="52" t="s">
        <v>73</v>
      </c>
    </row>
    <row r="261" spans="1:3" x14ac:dyDescent="0.25">
      <c r="A261" s="52" t="s">
        <v>330</v>
      </c>
      <c r="B261" s="56" t="s">
        <v>77</v>
      </c>
      <c r="C261" s="52" t="s">
        <v>73</v>
      </c>
    </row>
    <row r="262" spans="1:3" x14ac:dyDescent="0.25">
      <c r="A262" s="52" t="s">
        <v>331</v>
      </c>
      <c r="B262" s="56" t="s">
        <v>77</v>
      </c>
      <c r="C262" s="52" t="s">
        <v>73</v>
      </c>
    </row>
    <row r="263" spans="1:3" x14ac:dyDescent="0.25">
      <c r="A263" s="52" t="s">
        <v>332</v>
      </c>
      <c r="B263" s="56" t="s">
        <v>77</v>
      </c>
      <c r="C263" s="52" t="s">
        <v>73</v>
      </c>
    </row>
    <row r="264" spans="1:3" x14ac:dyDescent="0.25">
      <c r="A264" s="52" t="s">
        <v>333</v>
      </c>
      <c r="B264" s="56" t="s">
        <v>77</v>
      </c>
      <c r="C264" s="52" t="s">
        <v>73</v>
      </c>
    </row>
    <row r="265" spans="1:3" x14ac:dyDescent="0.25">
      <c r="A265" s="52" t="s">
        <v>334</v>
      </c>
      <c r="B265" s="56" t="s">
        <v>77</v>
      </c>
      <c r="C265" s="52" t="s">
        <v>73</v>
      </c>
    </row>
    <row r="266" spans="1:3" x14ac:dyDescent="0.25">
      <c r="A266" s="52" t="s">
        <v>335</v>
      </c>
      <c r="B266" s="56" t="s">
        <v>77</v>
      </c>
      <c r="C266" s="52" t="s">
        <v>73</v>
      </c>
    </row>
    <row r="267" spans="1:3" x14ac:dyDescent="0.25">
      <c r="A267" s="52" t="s">
        <v>336</v>
      </c>
      <c r="B267" s="56" t="s">
        <v>77</v>
      </c>
      <c r="C267" s="52" t="s">
        <v>73</v>
      </c>
    </row>
    <row r="268" spans="1:3" x14ac:dyDescent="0.25">
      <c r="A268" s="52" t="s">
        <v>337</v>
      </c>
      <c r="B268" s="56" t="s">
        <v>77</v>
      </c>
      <c r="C268" s="52" t="s">
        <v>73</v>
      </c>
    </row>
    <row r="269" spans="1:3" x14ac:dyDescent="0.25">
      <c r="A269" s="52" t="s">
        <v>338</v>
      </c>
      <c r="B269" s="56" t="s">
        <v>77</v>
      </c>
      <c r="C269" s="52" t="s">
        <v>73</v>
      </c>
    </row>
    <row r="270" spans="1:3" x14ac:dyDescent="0.25">
      <c r="A270" s="52" t="s">
        <v>339</v>
      </c>
      <c r="B270" s="56" t="s">
        <v>77</v>
      </c>
      <c r="C270" s="52" t="s">
        <v>73</v>
      </c>
    </row>
    <row r="271" spans="1:3" x14ac:dyDescent="0.25">
      <c r="A271" s="52" t="s">
        <v>340</v>
      </c>
      <c r="B271" s="56" t="s">
        <v>77</v>
      </c>
      <c r="C271" s="52" t="s">
        <v>73</v>
      </c>
    </row>
    <row r="272" spans="1:3" x14ac:dyDescent="0.25">
      <c r="A272" s="52" t="s">
        <v>341</v>
      </c>
      <c r="B272" s="56" t="s">
        <v>77</v>
      </c>
      <c r="C272" s="52" t="s">
        <v>73</v>
      </c>
    </row>
    <row r="273" spans="1:3" x14ac:dyDescent="0.25">
      <c r="A273" s="52" t="s">
        <v>342</v>
      </c>
      <c r="B273" s="56" t="s">
        <v>77</v>
      </c>
      <c r="C273" s="52" t="s">
        <v>73</v>
      </c>
    </row>
    <row r="274" spans="1:3" x14ac:dyDescent="0.25">
      <c r="A274" s="52" t="s">
        <v>343</v>
      </c>
      <c r="B274" s="56" t="s">
        <v>77</v>
      </c>
      <c r="C274" s="52" t="s">
        <v>73</v>
      </c>
    </row>
    <row r="275" spans="1:3" x14ac:dyDescent="0.25">
      <c r="A275" s="52" t="s">
        <v>344</v>
      </c>
      <c r="B275" s="56" t="s">
        <v>77</v>
      </c>
      <c r="C275" s="52" t="s">
        <v>73</v>
      </c>
    </row>
    <row r="276" spans="1:3" x14ac:dyDescent="0.25">
      <c r="A276" s="52" t="s">
        <v>345</v>
      </c>
      <c r="B276" s="56" t="s">
        <v>77</v>
      </c>
      <c r="C276" s="52" t="s">
        <v>73</v>
      </c>
    </row>
    <row r="277" spans="1:3" x14ac:dyDescent="0.25">
      <c r="A277" s="52" t="s">
        <v>346</v>
      </c>
      <c r="B277" s="56" t="s">
        <v>77</v>
      </c>
      <c r="C277" s="52" t="s">
        <v>73</v>
      </c>
    </row>
    <row r="278" spans="1:3" x14ac:dyDescent="0.25">
      <c r="A278" s="52" t="s">
        <v>347</v>
      </c>
      <c r="B278" s="56" t="s">
        <v>77</v>
      </c>
      <c r="C278" s="52" t="s">
        <v>73</v>
      </c>
    </row>
    <row r="279" spans="1:3" x14ac:dyDescent="0.25">
      <c r="A279" s="52" t="s">
        <v>348</v>
      </c>
      <c r="B279" s="56" t="s">
        <v>77</v>
      </c>
      <c r="C279" s="52" t="s">
        <v>73</v>
      </c>
    </row>
    <row r="280" spans="1:3" x14ac:dyDescent="0.25">
      <c r="A280" s="52" t="s">
        <v>349</v>
      </c>
      <c r="B280" s="56" t="s">
        <v>77</v>
      </c>
      <c r="C280" s="52" t="s">
        <v>73</v>
      </c>
    </row>
    <row r="281" spans="1:3" x14ac:dyDescent="0.25">
      <c r="A281" s="52" t="s">
        <v>350</v>
      </c>
      <c r="B281" s="56" t="s">
        <v>77</v>
      </c>
      <c r="C281" s="52" t="s">
        <v>73</v>
      </c>
    </row>
    <row r="282" spans="1:3" x14ac:dyDescent="0.25">
      <c r="A282" s="52" t="s">
        <v>351</v>
      </c>
      <c r="B282" s="56" t="s">
        <v>77</v>
      </c>
      <c r="C282" s="52" t="s">
        <v>73</v>
      </c>
    </row>
    <row r="283" spans="1:3" x14ac:dyDescent="0.25">
      <c r="A283" s="52" t="s">
        <v>352</v>
      </c>
      <c r="B283" s="56" t="s">
        <v>77</v>
      </c>
      <c r="C283" s="52" t="s">
        <v>73</v>
      </c>
    </row>
    <row r="284" spans="1:3" x14ac:dyDescent="0.25">
      <c r="A284" s="52" t="s">
        <v>353</v>
      </c>
      <c r="B284" s="56" t="s">
        <v>77</v>
      </c>
      <c r="C284" s="52" t="s">
        <v>73</v>
      </c>
    </row>
    <row r="285" spans="1:3" x14ac:dyDescent="0.25">
      <c r="A285" s="52" t="s">
        <v>354</v>
      </c>
      <c r="B285" s="56" t="s">
        <v>77</v>
      </c>
      <c r="C285" s="52" t="s">
        <v>73</v>
      </c>
    </row>
    <row r="286" spans="1:3" x14ac:dyDescent="0.25">
      <c r="A286" s="52" t="s">
        <v>355</v>
      </c>
      <c r="B286" s="56" t="s">
        <v>77</v>
      </c>
      <c r="C286" s="52" t="s">
        <v>73</v>
      </c>
    </row>
    <row r="287" spans="1:3" x14ac:dyDescent="0.25">
      <c r="A287" s="52" t="s">
        <v>356</v>
      </c>
      <c r="B287" s="56" t="s">
        <v>77</v>
      </c>
      <c r="C287" s="52" t="s">
        <v>73</v>
      </c>
    </row>
    <row r="288" spans="1:3" x14ac:dyDescent="0.25">
      <c r="A288" s="52" t="s">
        <v>357</v>
      </c>
      <c r="B288" s="56" t="s">
        <v>77</v>
      </c>
      <c r="C288" s="52" t="s">
        <v>73</v>
      </c>
    </row>
    <row r="289" spans="1:3" x14ac:dyDescent="0.25">
      <c r="A289" s="52" t="s">
        <v>358</v>
      </c>
      <c r="B289" s="56" t="s">
        <v>77</v>
      </c>
      <c r="C289" s="52" t="s">
        <v>73</v>
      </c>
    </row>
    <row r="290" spans="1:3" x14ac:dyDescent="0.25">
      <c r="A290" s="52" t="s">
        <v>359</v>
      </c>
      <c r="B290" s="56" t="s">
        <v>77</v>
      </c>
      <c r="C290" s="52" t="s">
        <v>73</v>
      </c>
    </row>
    <row r="291" spans="1:3" x14ac:dyDescent="0.25">
      <c r="A291" s="52" t="s">
        <v>360</v>
      </c>
      <c r="B291" s="56" t="s">
        <v>77</v>
      </c>
      <c r="C291" s="52" t="s">
        <v>73</v>
      </c>
    </row>
    <row r="292" spans="1:3" x14ac:dyDescent="0.25">
      <c r="A292" s="52" t="s">
        <v>361</v>
      </c>
      <c r="B292" s="56" t="s">
        <v>77</v>
      </c>
      <c r="C292" s="52" t="s">
        <v>73</v>
      </c>
    </row>
    <row r="293" spans="1:3" x14ac:dyDescent="0.25">
      <c r="A293" s="52" t="s">
        <v>362</v>
      </c>
      <c r="B293" s="56" t="s">
        <v>77</v>
      </c>
      <c r="C293" s="52" t="s">
        <v>73</v>
      </c>
    </row>
    <row r="294" spans="1:3" x14ac:dyDescent="0.25">
      <c r="A294" s="52" t="s">
        <v>363</v>
      </c>
      <c r="B294" s="56" t="s">
        <v>77</v>
      </c>
      <c r="C294" s="52" t="s">
        <v>73</v>
      </c>
    </row>
    <row r="295" spans="1:3" x14ac:dyDescent="0.25">
      <c r="A295" s="52" t="s">
        <v>364</v>
      </c>
      <c r="B295" s="56" t="s">
        <v>77</v>
      </c>
      <c r="C295" s="52" t="s">
        <v>73</v>
      </c>
    </row>
    <row r="296" spans="1:3" x14ac:dyDescent="0.25">
      <c r="A296" s="52" t="s">
        <v>365</v>
      </c>
      <c r="B296" s="56" t="s">
        <v>77</v>
      </c>
      <c r="C296" s="52" t="s">
        <v>73</v>
      </c>
    </row>
    <row r="297" spans="1:3" x14ac:dyDescent="0.25">
      <c r="A297" s="52" t="s">
        <v>366</v>
      </c>
      <c r="B297" s="56" t="s">
        <v>77</v>
      </c>
      <c r="C297" s="52" t="s">
        <v>73</v>
      </c>
    </row>
    <row r="298" spans="1:3" x14ac:dyDescent="0.25">
      <c r="A298" s="52" t="s">
        <v>367</v>
      </c>
      <c r="B298" s="56" t="s">
        <v>77</v>
      </c>
      <c r="C298" s="52" t="s">
        <v>73</v>
      </c>
    </row>
    <row r="299" spans="1:3" x14ac:dyDescent="0.25">
      <c r="A299" s="52" t="s">
        <v>368</v>
      </c>
      <c r="B299" s="56" t="s">
        <v>77</v>
      </c>
      <c r="C299" s="52" t="s">
        <v>73</v>
      </c>
    </row>
    <row r="300" spans="1:3" x14ac:dyDescent="0.25">
      <c r="A300" s="52" t="s">
        <v>369</v>
      </c>
      <c r="B300" s="56" t="s">
        <v>77</v>
      </c>
      <c r="C300" s="52" t="s">
        <v>73</v>
      </c>
    </row>
    <row r="301" spans="1:3" x14ac:dyDescent="0.25">
      <c r="A301" s="52" t="s">
        <v>370</v>
      </c>
      <c r="B301" s="56" t="s">
        <v>77</v>
      </c>
      <c r="C301" s="52" t="s">
        <v>73</v>
      </c>
    </row>
    <row r="302" spans="1:3" x14ac:dyDescent="0.25">
      <c r="A302" s="52" t="s">
        <v>371</v>
      </c>
      <c r="B302" s="56" t="s">
        <v>77</v>
      </c>
      <c r="C302" s="52" t="s">
        <v>73</v>
      </c>
    </row>
    <row r="303" spans="1:3" x14ac:dyDescent="0.25">
      <c r="A303" s="52" t="s">
        <v>372</v>
      </c>
      <c r="B303" s="56" t="s">
        <v>77</v>
      </c>
      <c r="C303" s="52" t="s">
        <v>73</v>
      </c>
    </row>
    <row r="304" spans="1:3" x14ac:dyDescent="0.25">
      <c r="A304" s="52" t="s">
        <v>373</v>
      </c>
      <c r="B304" s="56" t="s">
        <v>77</v>
      </c>
      <c r="C304" s="52" t="s">
        <v>73</v>
      </c>
    </row>
    <row r="305" spans="1:3" x14ac:dyDescent="0.25">
      <c r="A305" s="52" t="s">
        <v>374</v>
      </c>
      <c r="B305" s="56" t="s">
        <v>77</v>
      </c>
      <c r="C305" s="52" t="s">
        <v>73</v>
      </c>
    </row>
    <row r="306" spans="1:3" x14ac:dyDescent="0.25">
      <c r="A306" s="52" t="s">
        <v>375</v>
      </c>
      <c r="B306" s="56" t="s">
        <v>77</v>
      </c>
      <c r="C306" s="52" t="s">
        <v>73</v>
      </c>
    </row>
    <row r="307" spans="1:3" x14ac:dyDescent="0.25">
      <c r="A307" s="52" t="s">
        <v>376</v>
      </c>
      <c r="B307" s="56" t="s">
        <v>77</v>
      </c>
      <c r="C307" s="52" t="s">
        <v>73</v>
      </c>
    </row>
    <row r="308" spans="1:3" x14ac:dyDescent="0.25">
      <c r="A308" s="52" t="s">
        <v>377</v>
      </c>
      <c r="B308" s="56" t="s">
        <v>77</v>
      </c>
      <c r="C308" s="52" t="s">
        <v>73</v>
      </c>
    </row>
    <row r="309" spans="1:3" x14ac:dyDescent="0.25">
      <c r="A309" s="52" t="s">
        <v>378</v>
      </c>
      <c r="B309" s="56" t="s">
        <v>77</v>
      </c>
      <c r="C309" s="52" t="s">
        <v>73</v>
      </c>
    </row>
    <row r="310" spans="1:3" x14ac:dyDescent="0.25">
      <c r="A310" s="52" t="s">
        <v>379</v>
      </c>
      <c r="B310" s="56" t="s">
        <v>77</v>
      </c>
      <c r="C310" s="52" t="s">
        <v>73</v>
      </c>
    </row>
    <row r="311" spans="1:3" x14ac:dyDescent="0.25">
      <c r="A311" s="52" t="s">
        <v>380</v>
      </c>
      <c r="B311" s="56" t="s">
        <v>77</v>
      </c>
      <c r="C311" s="52" t="s">
        <v>73</v>
      </c>
    </row>
    <row r="312" spans="1:3" x14ac:dyDescent="0.25">
      <c r="A312" s="52" t="s">
        <v>381</v>
      </c>
      <c r="B312" s="56" t="s">
        <v>77</v>
      </c>
      <c r="C312" s="52" t="s">
        <v>73</v>
      </c>
    </row>
    <row r="313" spans="1:3" x14ac:dyDescent="0.25">
      <c r="A313" s="52" t="s">
        <v>382</v>
      </c>
      <c r="B313" s="56" t="s">
        <v>77</v>
      </c>
      <c r="C313" s="52" t="s">
        <v>73</v>
      </c>
    </row>
    <row r="314" spans="1:3" x14ac:dyDescent="0.25">
      <c r="A314" s="52" t="s">
        <v>383</v>
      </c>
      <c r="B314" s="56" t="s">
        <v>77</v>
      </c>
      <c r="C314" s="52" t="s">
        <v>73</v>
      </c>
    </row>
    <row r="315" spans="1:3" x14ac:dyDescent="0.25">
      <c r="A315" s="52" t="s">
        <v>384</v>
      </c>
      <c r="B315" s="56" t="s">
        <v>77</v>
      </c>
      <c r="C315" s="52" t="s">
        <v>73</v>
      </c>
    </row>
    <row r="316" spans="1:3" x14ac:dyDescent="0.25">
      <c r="A316" s="52" t="s">
        <v>385</v>
      </c>
      <c r="B316" s="56" t="s">
        <v>77</v>
      </c>
      <c r="C316" s="52" t="s">
        <v>73</v>
      </c>
    </row>
    <row r="317" spans="1:3" x14ac:dyDescent="0.25">
      <c r="A317" s="52" t="s">
        <v>386</v>
      </c>
      <c r="B317" s="56" t="s">
        <v>77</v>
      </c>
      <c r="C317" s="52" t="s">
        <v>73</v>
      </c>
    </row>
    <row r="318" spans="1:3" x14ac:dyDescent="0.25">
      <c r="A318" s="52" t="s">
        <v>387</v>
      </c>
      <c r="B318" s="56" t="s">
        <v>77</v>
      </c>
      <c r="C318" s="52" t="s">
        <v>73</v>
      </c>
    </row>
    <row r="319" spans="1:3" x14ac:dyDescent="0.25">
      <c r="A319" s="52" t="s">
        <v>388</v>
      </c>
      <c r="B319" s="56" t="s">
        <v>77</v>
      </c>
      <c r="C319" s="52" t="s">
        <v>73</v>
      </c>
    </row>
    <row r="320" spans="1:3" x14ac:dyDescent="0.25">
      <c r="A320" s="52" t="s">
        <v>389</v>
      </c>
      <c r="B320" s="56" t="s">
        <v>77</v>
      </c>
      <c r="C320" s="52" t="s">
        <v>73</v>
      </c>
    </row>
    <row r="321" spans="1:3" x14ac:dyDescent="0.25">
      <c r="A321" s="52" t="s">
        <v>390</v>
      </c>
      <c r="B321" s="56" t="s">
        <v>77</v>
      </c>
      <c r="C321" s="52" t="s">
        <v>73</v>
      </c>
    </row>
    <row r="322" spans="1:3" x14ac:dyDescent="0.25">
      <c r="A322" s="52" t="s">
        <v>391</v>
      </c>
      <c r="B322" s="56" t="s">
        <v>77</v>
      </c>
      <c r="C322" s="52" t="s">
        <v>73</v>
      </c>
    </row>
    <row r="323" spans="1:3" x14ac:dyDescent="0.25">
      <c r="A323" s="52" t="s">
        <v>392</v>
      </c>
      <c r="B323" s="56" t="s">
        <v>77</v>
      </c>
      <c r="C323" s="52" t="s">
        <v>73</v>
      </c>
    </row>
    <row r="324" spans="1:3" x14ac:dyDescent="0.25">
      <c r="A324" s="52" t="s">
        <v>393</v>
      </c>
      <c r="B324" s="56" t="s">
        <v>77</v>
      </c>
      <c r="C324" s="52" t="s">
        <v>73</v>
      </c>
    </row>
    <row r="325" spans="1:3" x14ac:dyDescent="0.25">
      <c r="A325" s="52" t="s">
        <v>394</v>
      </c>
      <c r="B325" s="56" t="s">
        <v>77</v>
      </c>
      <c r="C325" s="52" t="s">
        <v>73</v>
      </c>
    </row>
    <row r="326" spans="1:3" x14ac:dyDescent="0.25">
      <c r="A326" s="52" t="s">
        <v>395</v>
      </c>
      <c r="B326" s="56" t="s">
        <v>77</v>
      </c>
      <c r="C326" s="52" t="s">
        <v>73</v>
      </c>
    </row>
    <row r="327" spans="1:3" x14ac:dyDescent="0.25">
      <c r="A327" s="52" t="s">
        <v>396</v>
      </c>
      <c r="B327" s="56" t="s">
        <v>77</v>
      </c>
      <c r="C327" s="52" t="s">
        <v>73</v>
      </c>
    </row>
    <row r="328" spans="1:3" x14ac:dyDescent="0.25">
      <c r="A328" s="52" t="s">
        <v>397</v>
      </c>
      <c r="B328" s="56" t="s">
        <v>77</v>
      </c>
      <c r="C328" s="52" t="s">
        <v>73</v>
      </c>
    </row>
    <row r="329" spans="1:3" x14ac:dyDescent="0.25">
      <c r="A329" s="52" t="s">
        <v>398</v>
      </c>
      <c r="B329" s="56" t="s">
        <v>77</v>
      </c>
      <c r="C329" s="52" t="s">
        <v>73</v>
      </c>
    </row>
    <row r="330" spans="1:3" x14ac:dyDescent="0.25">
      <c r="A330" s="52" t="s">
        <v>399</v>
      </c>
      <c r="B330" s="56" t="s">
        <v>77</v>
      </c>
      <c r="C330" s="52" t="s">
        <v>73</v>
      </c>
    </row>
    <row r="331" spans="1:3" x14ac:dyDescent="0.25">
      <c r="A331" s="52" t="s">
        <v>400</v>
      </c>
      <c r="B331" s="56" t="s">
        <v>77</v>
      </c>
      <c r="C331" s="52" t="s">
        <v>73</v>
      </c>
    </row>
    <row r="332" spans="1:3" x14ac:dyDescent="0.25">
      <c r="A332" s="52" t="s">
        <v>401</v>
      </c>
      <c r="B332" s="56" t="s">
        <v>77</v>
      </c>
      <c r="C332" s="52" t="s">
        <v>73</v>
      </c>
    </row>
    <row r="333" spans="1:3" x14ac:dyDescent="0.25">
      <c r="A333" s="52" t="s">
        <v>402</v>
      </c>
      <c r="B333" s="56" t="s">
        <v>77</v>
      </c>
      <c r="C333" s="52" t="s">
        <v>73</v>
      </c>
    </row>
    <row r="334" spans="1:3" x14ac:dyDescent="0.25">
      <c r="A334" s="52" t="s">
        <v>403</v>
      </c>
      <c r="B334" s="56" t="s">
        <v>77</v>
      </c>
      <c r="C334" s="52" t="s">
        <v>73</v>
      </c>
    </row>
    <row r="335" spans="1:3" x14ac:dyDescent="0.25">
      <c r="A335" s="52" t="s">
        <v>404</v>
      </c>
      <c r="B335" s="56" t="s">
        <v>77</v>
      </c>
      <c r="C335" s="52" t="s">
        <v>73</v>
      </c>
    </row>
    <row r="336" spans="1:3" x14ac:dyDescent="0.25">
      <c r="A336" s="52" t="s">
        <v>405</v>
      </c>
      <c r="B336" s="56" t="s">
        <v>77</v>
      </c>
      <c r="C336" s="52" t="s">
        <v>73</v>
      </c>
    </row>
    <row r="337" spans="1:3" x14ac:dyDescent="0.25">
      <c r="A337" s="52" t="s">
        <v>406</v>
      </c>
      <c r="B337" s="56" t="s">
        <v>77</v>
      </c>
      <c r="C337" s="52" t="s">
        <v>73</v>
      </c>
    </row>
    <row r="338" spans="1:3" x14ac:dyDescent="0.25">
      <c r="A338" s="52" t="s">
        <v>407</v>
      </c>
      <c r="B338" s="56" t="s">
        <v>77</v>
      </c>
      <c r="C338" s="52" t="s">
        <v>73</v>
      </c>
    </row>
    <row r="339" spans="1:3" x14ac:dyDescent="0.25">
      <c r="A339" s="52" t="s">
        <v>408</v>
      </c>
      <c r="B339" s="56" t="s">
        <v>77</v>
      </c>
      <c r="C339" s="52" t="s">
        <v>73</v>
      </c>
    </row>
    <row r="340" spans="1:3" x14ac:dyDescent="0.25">
      <c r="A340" s="52" t="s">
        <v>409</v>
      </c>
      <c r="B340" s="56" t="s">
        <v>77</v>
      </c>
      <c r="C340" s="52" t="s">
        <v>73</v>
      </c>
    </row>
    <row r="341" spans="1:3" x14ac:dyDescent="0.25">
      <c r="A341" s="52" t="s">
        <v>410</v>
      </c>
      <c r="B341" s="56" t="s">
        <v>77</v>
      </c>
      <c r="C341" s="52" t="s">
        <v>73</v>
      </c>
    </row>
    <row r="342" spans="1:3" x14ac:dyDescent="0.25">
      <c r="A342" s="52" t="s">
        <v>411</v>
      </c>
      <c r="B342" s="56" t="s">
        <v>77</v>
      </c>
      <c r="C342" s="52" t="s">
        <v>73</v>
      </c>
    </row>
    <row r="343" spans="1:3" x14ac:dyDescent="0.25">
      <c r="A343" s="52" t="s">
        <v>412</v>
      </c>
      <c r="B343" s="56" t="s">
        <v>77</v>
      </c>
      <c r="C343" s="52" t="s">
        <v>73</v>
      </c>
    </row>
    <row r="344" spans="1:3" x14ac:dyDescent="0.25">
      <c r="A344" s="52" t="s">
        <v>413</v>
      </c>
      <c r="B344" s="56" t="s">
        <v>77</v>
      </c>
      <c r="C344" s="52" t="s">
        <v>73</v>
      </c>
    </row>
    <row r="345" spans="1:3" x14ac:dyDescent="0.25">
      <c r="A345" s="52" t="s">
        <v>414</v>
      </c>
      <c r="B345" s="56" t="s">
        <v>77</v>
      </c>
      <c r="C345" s="52" t="s">
        <v>73</v>
      </c>
    </row>
    <row r="346" spans="1:3" x14ac:dyDescent="0.25">
      <c r="A346" s="52" t="s">
        <v>415</v>
      </c>
      <c r="B346" s="56" t="s">
        <v>77</v>
      </c>
      <c r="C346" s="52" t="s">
        <v>73</v>
      </c>
    </row>
    <row r="347" spans="1:3" x14ac:dyDescent="0.25">
      <c r="A347" s="52" t="s">
        <v>416</v>
      </c>
      <c r="B347" s="56" t="s">
        <v>77</v>
      </c>
      <c r="C347" s="52" t="s">
        <v>73</v>
      </c>
    </row>
    <row r="348" spans="1:3" x14ac:dyDescent="0.25">
      <c r="A348" s="52" t="s">
        <v>417</v>
      </c>
      <c r="B348" s="56" t="s">
        <v>77</v>
      </c>
      <c r="C348" s="52" t="s">
        <v>73</v>
      </c>
    </row>
    <row r="349" spans="1:3" x14ac:dyDescent="0.25">
      <c r="A349" s="52" t="s">
        <v>418</v>
      </c>
      <c r="B349" s="56" t="s">
        <v>77</v>
      </c>
      <c r="C349" s="52" t="s">
        <v>73</v>
      </c>
    </row>
    <row r="350" spans="1:3" x14ac:dyDescent="0.25">
      <c r="A350" s="52" t="s">
        <v>419</v>
      </c>
      <c r="B350" s="56" t="s">
        <v>77</v>
      </c>
      <c r="C350" s="52" t="s">
        <v>73</v>
      </c>
    </row>
    <row r="351" spans="1:3" x14ac:dyDescent="0.25">
      <c r="A351" s="52" t="s">
        <v>420</v>
      </c>
      <c r="B351" s="56" t="s">
        <v>77</v>
      </c>
      <c r="C351" s="52" t="s">
        <v>73</v>
      </c>
    </row>
    <row r="352" spans="1:3" x14ac:dyDescent="0.25">
      <c r="A352" s="52" t="s">
        <v>421</v>
      </c>
      <c r="B352" s="56" t="s">
        <v>77</v>
      </c>
      <c r="C352" s="52" t="s">
        <v>73</v>
      </c>
    </row>
    <row r="353" spans="1:3" x14ac:dyDescent="0.25">
      <c r="A353" s="52" t="s">
        <v>422</v>
      </c>
      <c r="B353" s="56" t="s">
        <v>77</v>
      </c>
      <c r="C353" s="52" t="s">
        <v>73</v>
      </c>
    </row>
    <row r="354" spans="1:3" x14ac:dyDescent="0.25">
      <c r="A354" s="52" t="s">
        <v>423</v>
      </c>
      <c r="B354" s="56" t="s">
        <v>77</v>
      </c>
      <c r="C354" s="52" t="s">
        <v>73</v>
      </c>
    </row>
    <row r="355" spans="1:3" x14ac:dyDescent="0.25">
      <c r="A355" s="52" t="s">
        <v>424</v>
      </c>
      <c r="B355" s="56" t="s">
        <v>77</v>
      </c>
      <c r="C355" s="52" t="s">
        <v>73</v>
      </c>
    </row>
    <row r="356" spans="1:3" x14ac:dyDescent="0.25">
      <c r="A356" s="52" t="s">
        <v>425</v>
      </c>
      <c r="B356" s="56" t="s">
        <v>77</v>
      </c>
      <c r="C356" s="52" t="s">
        <v>73</v>
      </c>
    </row>
    <row r="357" spans="1:3" x14ac:dyDescent="0.25">
      <c r="A357" s="52" t="s">
        <v>426</v>
      </c>
      <c r="B357" s="56" t="s">
        <v>77</v>
      </c>
      <c r="C357" s="52" t="s">
        <v>73</v>
      </c>
    </row>
    <row r="358" spans="1:3" x14ac:dyDescent="0.25">
      <c r="A358" s="52" t="s">
        <v>427</v>
      </c>
      <c r="B358" s="56" t="s">
        <v>77</v>
      </c>
      <c r="C358" s="52" t="s">
        <v>73</v>
      </c>
    </row>
    <row r="359" spans="1:3" x14ac:dyDescent="0.25">
      <c r="A359" s="52" t="s">
        <v>428</v>
      </c>
      <c r="B359" s="56" t="s">
        <v>77</v>
      </c>
      <c r="C359" s="52" t="s">
        <v>73</v>
      </c>
    </row>
    <row r="360" spans="1:3" x14ac:dyDescent="0.25">
      <c r="A360" s="52" t="s">
        <v>429</v>
      </c>
      <c r="B360" s="56" t="s">
        <v>77</v>
      </c>
      <c r="C360" s="52" t="s">
        <v>73</v>
      </c>
    </row>
    <row r="361" spans="1:3" x14ac:dyDescent="0.25">
      <c r="A361" s="52" t="s">
        <v>430</v>
      </c>
      <c r="B361" s="56" t="s">
        <v>77</v>
      </c>
      <c r="C361" s="52" t="s">
        <v>73</v>
      </c>
    </row>
    <row r="362" spans="1:3" x14ac:dyDescent="0.25">
      <c r="A362" s="52" t="s">
        <v>431</v>
      </c>
      <c r="B362" s="56" t="s">
        <v>77</v>
      </c>
      <c r="C362" s="52" t="s">
        <v>73</v>
      </c>
    </row>
    <row r="363" spans="1:3" x14ac:dyDescent="0.25">
      <c r="A363" s="52" t="s">
        <v>432</v>
      </c>
      <c r="B363" s="56" t="s">
        <v>77</v>
      </c>
      <c r="C363" s="52" t="s">
        <v>73</v>
      </c>
    </row>
    <row r="364" spans="1:3" x14ac:dyDescent="0.25">
      <c r="A364" s="52" t="s">
        <v>433</v>
      </c>
      <c r="B364" s="56" t="s">
        <v>77</v>
      </c>
      <c r="C364" s="52" t="s">
        <v>73</v>
      </c>
    </row>
    <row r="365" spans="1:3" x14ac:dyDescent="0.25">
      <c r="A365" s="52" t="s">
        <v>434</v>
      </c>
      <c r="B365" s="56" t="s">
        <v>77</v>
      </c>
      <c r="C365" s="52" t="s">
        <v>73</v>
      </c>
    </row>
    <row r="366" spans="1:3" x14ac:dyDescent="0.25">
      <c r="A366" s="52" t="s">
        <v>435</v>
      </c>
      <c r="B366" s="56" t="s">
        <v>77</v>
      </c>
      <c r="C366" s="52" t="s">
        <v>73</v>
      </c>
    </row>
    <row r="367" spans="1:3" x14ac:dyDescent="0.25">
      <c r="A367" s="52" t="s">
        <v>436</v>
      </c>
      <c r="B367" s="56" t="s">
        <v>77</v>
      </c>
      <c r="C367" s="52" t="s">
        <v>73</v>
      </c>
    </row>
    <row r="368" spans="1:3" x14ac:dyDescent="0.25">
      <c r="A368" s="52" t="s">
        <v>437</v>
      </c>
      <c r="B368" s="56" t="s">
        <v>77</v>
      </c>
      <c r="C368" s="52" t="s">
        <v>73</v>
      </c>
    </row>
    <row r="369" spans="1:3" x14ac:dyDescent="0.25">
      <c r="A369" s="52" t="s">
        <v>438</v>
      </c>
      <c r="B369" s="56" t="s">
        <v>77</v>
      </c>
      <c r="C369" s="52" t="s">
        <v>73</v>
      </c>
    </row>
    <row r="370" spans="1:3" x14ac:dyDescent="0.25">
      <c r="A370" s="52" t="s">
        <v>439</v>
      </c>
      <c r="B370" s="56" t="s">
        <v>77</v>
      </c>
      <c r="C370" s="52" t="s">
        <v>73</v>
      </c>
    </row>
    <row r="371" spans="1:3" x14ac:dyDescent="0.25">
      <c r="A371" s="52" t="s">
        <v>440</v>
      </c>
      <c r="B371" s="56" t="s">
        <v>77</v>
      </c>
      <c r="C371" s="52" t="s">
        <v>73</v>
      </c>
    </row>
    <row r="372" spans="1:3" x14ac:dyDescent="0.25">
      <c r="A372" s="52" t="s">
        <v>441</v>
      </c>
      <c r="B372" s="56" t="s">
        <v>77</v>
      </c>
      <c r="C372" s="52" t="s">
        <v>73</v>
      </c>
    </row>
    <row r="373" spans="1:3" x14ac:dyDescent="0.25">
      <c r="A373" s="52" t="s">
        <v>442</v>
      </c>
      <c r="B373" s="56" t="s">
        <v>77</v>
      </c>
      <c r="C373" s="52" t="s">
        <v>73</v>
      </c>
    </row>
    <row r="374" spans="1:3" x14ac:dyDescent="0.25">
      <c r="A374" s="52" t="s">
        <v>443</v>
      </c>
      <c r="B374" s="56" t="s">
        <v>77</v>
      </c>
      <c r="C374" s="52" t="s">
        <v>73</v>
      </c>
    </row>
    <row r="375" spans="1:3" x14ac:dyDescent="0.25">
      <c r="A375" s="52" t="s">
        <v>444</v>
      </c>
      <c r="B375" s="56" t="s">
        <v>77</v>
      </c>
      <c r="C375" s="52" t="s">
        <v>73</v>
      </c>
    </row>
    <row r="376" spans="1:3" x14ac:dyDescent="0.25">
      <c r="A376" s="52" t="s">
        <v>445</v>
      </c>
      <c r="B376" s="56" t="s">
        <v>77</v>
      </c>
      <c r="C376" s="52" t="s">
        <v>73</v>
      </c>
    </row>
    <row r="377" spans="1:3" x14ac:dyDescent="0.25">
      <c r="A377" s="52" t="s">
        <v>446</v>
      </c>
      <c r="B377" s="56" t="s">
        <v>77</v>
      </c>
      <c r="C377" s="52" t="s">
        <v>73</v>
      </c>
    </row>
    <row r="378" spans="1:3" x14ac:dyDescent="0.25">
      <c r="A378" s="52" t="s">
        <v>447</v>
      </c>
      <c r="B378" s="56" t="s">
        <v>77</v>
      </c>
      <c r="C378" s="52" t="s">
        <v>73</v>
      </c>
    </row>
    <row r="379" spans="1:3" x14ac:dyDescent="0.25">
      <c r="A379" s="52" t="s">
        <v>448</v>
      </c>
      <c r="B379" s="56" t="s">
        <v>77</v>
      </c>
      <c r="C379" s="52" t="s">
        <v>73</v>
      </c>
    </row>
    <row r="380" spans="1:3" x14ac:dyDescent="0.25">
      <c r="A380" s="52" t="s">
        <v>449</v>
      </c>
      <c r="B380" s="56" t="s">
        <v>77</v>
      </c>
      <c r="C380" s="52" t="s">
        <v>73</v>
      </c>
    </row>
    <row r="381" spans="1:3" x14ac:dyDescent="0.25">
      <c r="A381" s="52" t="s">
        <v>450</v>
      </c>
      <c r="B381" s="56" t="s">
        <v>77</v>
      </c>
      <c r="C381" s="52" t="s">
        <v>73</v>
      </c>
    </row>
    <row r="382" spans="1:3" x14ac:dyDescent="0.25">
      <c r="A382" s="52" t="s">
        <v>451</v>
      </c>
      <c r="B382" s="56" t="s">
        <v>77</v>
      </c>
      <c r="C382" s="52" t="s">
        <v>73</v>
      </c>
    </row>
    <row r="383" spans="1:3" x14ac:dyDescent="0.25">
      <c r="A383" s="52" t="s">
        <v>452</v>
      </c>
      <c r="B383" s="56" t="s">
        <v>77</v>
      </c>
      <c r="C383" s="52" t="s">
        <v>73</v>
      </c>
    </row>
    <row r="384" spans="1:3" x14ac:dyDescent="0.25">
      <c r="A384" s="52" t="s">
        <v>453</v>
      </c>
      <c r="B384" s="56" t="s">
        <v>77</v>
      </c>
      <c r="C384" s="52" t="s">
        <v>73</v>
      </c>
    </row>
    <row r="385" spans="1:3" x14ac:dyDescent="0.25">
      <c r="A385" s="52" t="s">
        <v>454</v>
      </c>
      <c r="B385" s="56" t="s">
        <v>77</v>
      </c>
      <c r="C385" s="52" t="s">
        <v>73</v>
      </c>
    </row>
    <row r="386" spans="1:3" x14ac:dyDescent="0.25">
      <c r="A386" s="52" t="s">
        <v>455</v>
      </c>
      <c r="B386" s="56" t="s">
        <v>77</v>
      </c>
      <c r="C386" s="52" t="s">
        <v>73</v>
      </c>
    </row>
    <row r="387" spans="1:3" x14ac:dyDescent="0.25">
      <c r="A387" s="52" t="s">
        <v>456</v>
      </c>
      <c r="B387" s="56" t="s">
        <v>77</v>
      </c>
      <c r="C387" s="52" t="s">
        <v>73</v>
      </c>
    </row>
    <row r="388" spans="1:3" x14ac:dyDescent="0.25">
      <c r="A388" s="52" t="s">
        <v>457</v>
      </c>
      <c r="B388" s="56" t="s">
        <v>77</v>
      </c>
      <c r="C388" s="52" t="s">
        <v>73</v>
      </c>
    </row>
    <row r="389" spans="1:3" x14ac:dyDescent="0.25">
      <c r="A389" s="52" t="s">
        <v>458</v>
      </c>
      <c r="B389" s="56" t="s">
        <v>77</v>
      </c>
      <c r="C389" s="52" t="s">
        <v>73</v>
      </c>
    </row>
    <row r="390" spans="1:3" x14ac:dyDescent="0.25">
      <c r="A390" s="52" t="s">
        <v>459</v>
      </c>
      <c r="B390" s="56" t="s">
        <v>77</v>
      </c>
      <c r="C390" s="52" t="s">
        <v>73</v>
      </c>
    </row>
    <row r="391" spans="1:3" x14ac:dyDescent="0.25">
      <c r="A391" s="52" t="s">
        <v>460</v>
      </c>
      <c r="B391" s="56" t="s">
        <v>77</v>
      </c>
      <c r="C391" s="52" t="s">
        <v>73</v>
      </c>
    </row>
    <row r="392" spans="1:3" x14ac:dyDescent="0.25">
      <c r="A392" s="52" t="s">
        <v>461</v>
      </c>
      <c r="B392" s="56" t="s">
        <v>77</v>
      </c>
      <c r="C392" s="52" t="s">
        <v>73</v>
      </c>
    </row>
    <row r="393" spans="1:3" x14ac:dyDescent="0.25">
      <c r="A393" s="52" t="s">
        <v>462</v>
      </c>
      <c r="B393" s="56" t="s">
        <v>77</v>
      </c>
      <c r="C393" s="52" t="s">
        <v>73</v>
      </c>
    </row>
    <row r="394" spans="1:3" x14ac:dyDescent="0.25">
      <c r="A394" s="52" t="s">
        <v>463</v>
      </c>
      <c r="B394" s="56" t="s">
        <v>77</v>
      </c>
      <c r="C394" s="52" t="s">
        <v>73</v>
      </c>
    </row>
    <row r="395" spans="1:3" x14ac:dyDescent="0.25">
      <c r="A395" s="52" t="s">
        <v>464</v>
      </c>
      <c r="B395" s="56" t="s">
        <v>77</v>
      </c>
      <c r="C395" s="52" t="s">
        <v>73</v>
      </c>
    </row>
    <row r="396" spans="1:3" x14ac:dyDescent="0.25">
      <c r="A396" s="52" t="s">
        <v>465</v>
      </c>
      <c r="B396" s="56" t="s">
        <v>77</v>
      </c>
      <c r="C396" s="52" t="s">
        <v>73</v>
      </c>
    </row>
    <row r="397" spans="1:3" x14ac:dyDescent="0.25">
      <c r="A397" s="52" t="s">
        <v>466</v>
      </c>
      <c r="B397" s="56" t="s">
        <v>77</v>
      </c>
      <c r="C397" s="52" t="s">
        <v>73</v>
      </c>
    </row>
    <row r="398" spans="1:3" x14ac:dyDescent="0.25">
      <c r="A398" s="52" t="s">
        <v>467</v>
      </c>
      <c r="B398" s="56" t="s">
        <v>77</v>
      </c>
      <c r="C398" s="52" t="s">
        <v>73</v>
      </c>
    </row>
    <row r="399" spans="1:3" x14ac:dyDescent="0.25">
      <c r="A399" s="52" t="s">
        <v>468</v>
      </c>
      <c r="B399" s="56" t="s">
        <v>77</v>
      </c>
      <c r="C399" s="52" t="s">
        <v>73</v>
      </c>
    </row>
    <row r="400" spans="1:3" x14ac:dyDescent="0.25">
      <c r="A400" s="52" t="s">
        <v>469</v>
      </c>
      <c r="B400" s="56" t="s">
        <v>77</v>
      </c>
      <c r="C400" s="52" t="s">
        <v>73</v>
      </c>
    </row>
    <row r="401" spans="1:3" x14ac:dyDescent="0.25">
      <c r="A401" s="52" t="s">
        <v>470</v>
      </c>
      <c r="B401" s="56" t="s">
        <v>77</v>
      </c>
      <c r="C401" s="52" t="s">
        <v>73</v>
      </c>
    </row>
    <row r="402" spans="1:3" x14ac:dyDescent="0.25">
      <c r="A402" s="52" t="s">
        <v>471</v>
      </c>
      <c r="B402" s="56" t="s">
        <v>77</v>
      </c>
      <c r="C402" s="52" t="s">
        <v>73</v>
      </c>
    </row>
    <row r="403" spans="1:3" x14ac:dyDescent="0.25">
      <c r="A403" s="52" t="s">
        <v>472</v>
      </c>
      <c r="B403" s="56" t="s">
        <v>77</v>
      </c>
      <c r="C403" s="52" t="s">
        <v>73</v>
      </c>
    </row>
    <row r="404" spans="1:3" x14ac:dyDescent="0.25">
      <c r="A404" s="52" t="s">
        <v>473</v>
      </c>
      <c r="B404" s="56" t="s">
        <v>77</v>
      </c>
      <c r="C404" s="52" t="s">
        <v>73</v>
      </c>
    </row>
    <row r="405" spans="1:3" x14ac:dyDescent="0.25">
      <c r="A405" s="52" t="s">
        <v>474</v>
      </c>
      <c r="B405" s="56" t="s">
        <v>77</v>
      </c>
      <c r="C405" s="52" t="s">
        <v>73</v>
      </c>
    </row>
    <row r="406" spans="1:3" x14ac:dyDescent="0.25">
      <c r="A406" s="52" t="s">
        <v>475</v>
      </c>
      <c r="B406" s="56" t="s">
        <v>77</v>
      </c>
      <c r="C406" s="52" t="s">
        <v>73</v>
      </c>
    </row>
    <row r="407" spans="1:3" x14ac:dyDescent="0.25">
      <c r="A407" s="52" t="s">
        <v>476</v>
      </c>
      <c r="B407" s="56" t="s">
        <v>77</v>
      </c>
      <c r="C407" s="52" t="s">
        <v>73</v>
      </c>
    </row>
    <row r="408" spans="1:3" x14ac:dyDescent="0.25">
      <c r="A408" s="52" t="s">
        <v>477</v>
      </c>
      <c r="B408" s="56" t="s">
        <v>77</v>
      </c>
      <c r="C408" s="52" t="s">
        <v>73</v>
      </c>
    </row>
    <row r="409" spans="1:3" x14ac:dyDescent="0.25">
      <c r="A409" s="52" t="s">
        <v>478</v>
      </c>
      <c r="B409" s="56" t="s">
        <v>77</v>
      </c>
      <c r="C409" s="52" t="s">
        <v>73</v>
      </c>
    </row>
    <row r="410" spans="1:3" x14ac:dyDescent="0.25">
      <c r="A410" s="52" t="s">
        <v>479</v>
      </c>
      <c r="B410" s="56" t="s">
        <v>77</v>
      </c>
      <c r="C410" s="52" t="s">
        <v>73</v>
      </c>
    </row>
    <row r="411" spans="1:3" x14ac:dyDescent="0.25">
      <c r="A411" s="52" t="s">
        <v>480</v>
      </c>
      <c r="B411" s="56" t="s">
        <v>77</v>
      </c>
      <c r="C411" s="52" t="s">
        <v>73</v>
      </c>
    </row>
    <row r="412" spans="1:3" x14ac:dyDescent="0.25">
      <c r="A412" s="52" t="s">
        <v>481</v>
      </c>
      <c r="B412" s="56" t="s">
        <v>77</v>
      </c>
      <c r="C412" s="52" t="s">
        <v>73</v>
      </c>
    </row>
    <row r="413" spans="1:3" x14ac:dyDescent="0.25">
      <c r="A413" s="52" t="s">
        <v>482</v>
      </c>
      <c r="B413" s="56" t="s">
        <v>77</v>
      </c>
      <c r="C413" s="52" t="s">
        <v>73</v>
      </c>
    </row>
    <row r="414" spans="1:3" x14ac:dyDescent="0.25">
      <c r="A414" s="52" t="s">
        <v>483</v>
      </c>
      <c r="B414" s="56" t="s">
        <v>77</v>
      </c>
      <c r="C414" s="52" t="s">
        <v>73</v>
      </c>
    </row>
    <row r="415" spans="1:3" x14ac:dyDescent="0.25">
      <c r="A415" s="52" t="s">
        <v>484</v>
      </c>
      <c r="B415" s="56" t="s">
        <v>77</v>
      </c>
      <c r="C415" s="52" t="s">
        <v>73</v>
      </c>
    </row>
    <row r="416" spans="1:3" x14ac:dyDescent="0.25">
      <c r="A416" s="52" t="s">
        <v>485</v>
      </c>
      <c r="B416" s="56" t="s">
        <v>77</v>
      </c>
      <c r="C416" s="52" t="s">
        <v>73</v>
      </c>
    </row>
    <row r="417" spans="1:3" x14ac:dyDescent="0.25">
      <c r="A417" s="52" t="s">
        <v>486</v>
      </c>
      <c r="B417" s="56" t="s">
        <v>77</v>
      </c>
      <c r="C417" s="52" t="s">
        <v>73</v>
      </c>
    </row>
    <row r="418" spans="1:3" x14ac:dyDescent="0.25">
      <c r="A418" s="52" t="s">
        <v>487</v>
      </c>
      <c r="B418" s="56" t="s">
        <v>77</v>
      </c>
      <c r="C418" s="52" t="s">
        <v>73</v>
      </c>
    </row>
    <row r="419" spans="1:3" x14ac:dyDescent="0.25">
      <c r="A419" s="52" t="s">
        <v>488</v>
      </c>
      <c r="B419" s="56" t="s">
        <v>77</v>
      </c>
      <c r="C419" s="52" t="s">
        <v>73</v>
      </c>
    </row>
    <row r="420" spans="1:3" x14ac:dyDescent="0.25">
      <c r="A420" s="52" t="s">
        <v>489</v>
      </c>
      <c r="B420" s="56" t="s">
        <v>77</v>
      </c>
      <c r="C420" s="52" t="s">
        <v>73</v>
      </c>
    </row>
    <row r="421" spans="1:3" x14ac:dyDescent="0.25">
      <c r="A421" s="52" t="s">
        <v>490</v>
      </c>
      <c r="B421" s="56" t="s">
        <v>77</v>
      </c>
      <c r="C421" s="52" t="s">
        <v>73</v>
      </c>
    </row>
    <row r="422" spans="1:3" x14ac:dyDescent="0.25">
      <c r="A422" s="52" t="s">
        <v>491</v>
      </c>
      <c r="B422" s="56" t="s">
        <v>77</v>
      </c>
      <c r="C422" s="52" t="s">
        <v>73</v>
      </c>
    </row>
    <row r="423" spans="1:3" x14ac:dyDescent="0.25">
      <c r="A423" s="52" t="s">
        <v>492</v>
      </c>
      <c r="B423" s="56" t="s">
        <v>77</v>
      </c>
      <c r="C423" s="52" t="s">
        <v>73</v>
      </c>
    </row>
    <row r="424" spans="1:3" x14ac:dyDescent="0.25">
      <c r="A424" s="52" t="s">
        <v>493</v>
      </c>
      <c r="B424" s="56" t="s">
        <v>77</v>
      </c>
      <c r="C424" s="52" t="s">
        <v>73</v>
      </c>
    </row>
    <row r="425" spans="1:3" x14ac:dyDescent="0.25">
      <c r="A425" s="52" t="s">
        <v>494</v>
      </c>
      <c r="B425" s="56" t="s">
        <v>77</v>
      </c>
      <c r="C425" s="52" t="s">
        <v>73</v>
      </c>
    </row>
    <row r="426" spans="1:3" x14ac:dyDescent="0.25">
      <c r="A426" s="52" t="s">
        <v>495</v>
      </c>
      <c r="B426" s="56" t="s">
        <v>77</v>
      </c>
      <c r="C426" s="52" t="s">
        <v>73</v>
      </c>
    </row>
    <row r="427" spans="1:3" x14ac:dyDescent="0.25">
      <c r="A427" s="52" t="s">
        <v>496</v>
      </c>
      <c r="B427" s="56" t="s">
        <v>77</v>
      </c>
      <c r="C427" s="52" t="s">
        <v>73</v>
      </c>
    </row>
    <row r="428" spans="1:3" x14ac:dyDescent="0.25">
      <c r="A428" s="52" t="s">
        <v>497</v>
      </c>
      <c r="B428" s="56" t="s">
        <v>77</v>
      </c>
      <c r="C428" s="52" t="s">
        <v>73</v>
      </c>
    </row>
    <row r="429" spans="1:3" x14ac:dyDescent="0.25">
      <c r="A429" s="52" t="s">
        <v>498</v>
      </c>
      <c r="B429" s="56" t="s">
        <v>77</v>
      </c>
      <c r="C429" s="52" t="s">
        <v>73</v>
      </c>
    </row>
    <row r="430" spans="1:3" x14ac:dyDescent="0.25">
      <c r="A430" s="52" t="s">
        <v>499</v>
      </c>
      <c r="B430" s="56" t="s">
        <v>77</v>
      </c>
      <c r="C430" s="52" t="s">
        <v>73</v>
      </c>
    </row>
    <row r="431" spans="1:3" x14ac:dyDescent="0.25">
      <c r="A431" s="52" t="s">
        <v>500</v>
      </c>
      <c r="B431" s="56" t="s">
        <v>77</v>
      </c>
      <c r="C431" s="52" t="s">
        <v>73</v>
      </c>
    </row>
    <row r="432" spans="1:3" x14ac:dyDescent="0.25">
      <c r="A432" s="52" t="s">
        <v>501</v>
      </c>
      <c r="B432" s="56" t="s">
        <v>77</v>
      </c>
      <c r="C432" s="52" t="s">
        <v>73</v>
      </c>
    </row>
    <row r="433" spans="1:3" x14ac:dyDescent="0.25">
      <c r="A433" s="52" t="s">
        <v>502</v>
      </c>
      <c r="B433" s="56" t="s">
        <v>77</v>
      </c>
      <c r="C433" s="52" t="s">
        <v>73</v>
      </c>
    </row>
    <row r="434" spans="1:3" x14ac:dyDescent="0.25">
      <c r="A434" s="52" t="s">
        <v>503</v>
      </c>
      <c r="B434" s="56" t="s">
        <v>77</v>
      </c>
      <c r="C434" s="52" t="s">
        <v>73</v>
      </c>
    </row>
    <row r="435" spans="1:3" x14ac:dyDescent="0.25">
      <c r="A435" s="52" t="s">
        <v>504</v>
      </c>
      <c r="B435" s="56" t="s">
        <v>77</v>
      </c>
      <c r="C435" s="52" t="s">
        <v>73</v>
      </c>
    </row>
    <row r="436" spans="1:3" x14ac:dyDescent="0.25">
      <c r="A436" s="52" t="s">
        <v>505</v>
      </c>
      <c r="B436" s="56" t="s">
        <v>77</v>
      </c>
      <c r="C436" s="52" t="s">
        <v>73</v>
      </c>
    </row>
    <row r="437" spans="1:3" x14ac:dyDescent="0.25">
      <c r="A437" s="52" t="s">
        <v>506</v>
      </c>
      <c r="B437" s="56" t="s">
        <v>77</v>
      </c>
      <c r="C437" s="52" t="s">
        <v>73</v>
      </c>
    </row>
    <row r="438" spans="1:3" x14ac:dyDescent="0.25">
      <c r="A438" s="52" t="s">
        <v>507</v>
      </c>
      <c r="B438" s="56" t="s">
        <v>77</v>
      </c>
      <c r="C438" s="52" t="s">
        <v>73</v>
      </c>
    </row>
    <row r="439" spans="1:3" x14ac:dyDescent="0.25">
      <c r="A439" s="52" t="s">
        <v>508</v>
      </c>
      <c r="B439" s="56" t="s">
        <v>77</v>
      </c>
      <c r="C439" s="52" t="s">
        <v>73</v>
      </c>
    </row>
    <row r="440" spans="1:3" x14ac:dyDescent="0.25">
      <c r="A440" s="52" t="s">
        <v>509</v>
      </c>
      <c r="B440" s="56" t="s">
        <v>77</v>
      </c>
      <c r="C440" s="52" t="s">
        <v>73</v>
      </c>
    </row>
    <row r="441" spans="1:3" x14ac:dyDescent="0.25">
      <c r="A441" s="52" t="s">
        <v>510</v>
      </c>
      <c r="B441" s="56" t="s">
        <v>77</v>
      </c>
      <c r="C441" s="52" t="s">
        <v>73</v>
      </c>
    </row>
    <row r="442" spans="1:3" x14ac:dyDescent="0.25">
      <c r="A442" s="52" t="s">
        <v>511</v>
      </c>
      <c r="B442" s="56" t="s">
        <v>77</v>
      </c>
      <c r="C442" s="52" t="s">
        <v>73</v>
      </c>
    </row>
    <row r="443" spans="1:3" x14ac:dyDescent="0.25">
      <c r="A443" s="52" t="s">
        <v>512</v>
      </c>
      <c r="B443" s="56" t="s">
        <v>77</v>
      </c>
      <c r="C443" s="52" t="s">
        <v>73</v>
      </c>
    </row>
    <row r="444" spans="1:3" x14ac:dyDescent="0.25">
      <c r="A444" s="52" t="s">
        <v>513</v>
      </c>
      <c r="B444" s="56" t="s">
        <v>77</v>
      </c>
      <c r="C444" s="52" t="s">
        <v>73</v>
      </c>
    </row>
    <row r="445" spans="1:3" x14ac:dyDescent="0.25">
      <c r="A445" s="52" t="s">
        <v>514</v>
      </c>
      <c r="B445" s="56" t="s">
        <v>77</v>
      </c>
      <c r="C445" s="52" t="s">
        <v>73</v>
      </c>
    </row>
    <row r="446" spans="1:3" x14ac:dyDescent="0.25">
      <c r="A446" s="52" t="s">
        <v>515</v>
      </c>
      <c r="B446" s="56" t="s">
        <v>77</v>
      </c>
      <c r="C446" s="52" t="s">
        <v>73</v>
      </c>
    </row>
    <row r="447" spans="1:3" x14ac:dyDescent="0.25">
      <c r="A447" s="52" t="s">
        <v>516</v>
      </c>
      <c r="B447" s="56" t="s">
        <v>77</v>
      </c>
      <c r="C447" s="52" t="s">
        <v>73</v>
      </c>
    </row>
    <row r="448" spans="1:3" x14ac:dyDescent="0.25">
      <c r="A448" s="52" t="s">
        <v>517</v>
      </c>
      <c r="B448" s="56" t="s">
        <v>77</v>
      </c>
      <c r="C448" s="52" t="s">
        <v>73</v>
      </c>
    </row>
    <row r="449" spans="1:3" x14ac:dyDescent="0.25">
      <c r="A449" s="52" t="s">
        <v>518</v>
      </c>
      <c r="B449" s="56" t="s">
        <v>77</v>
      </c>
      <c r="C449" s="52" t="s">
        <v>73</v>
      </c>
    </row>
    <row r="450" spans="1:3" x14ac:dyDescent="0.25">
      <c r="A450" s="52" t="s">
        <v>519</v>
      </c>
      <c r="B450" s="56" t="s">
        <v>77</v>
      </c>
      <c r="C450" s="52" t="s">
        <v>73</v>
      </c>
    </row>
    <row r="451" spans="1:3" x14ac:dyDescent="0.25">
      <c r="A451" s="52" t="s">
        <v>520</v>
      </c>
      <c r="B451" s="56" t="s">
        <v>77</v>
      </c>
      <c r="C451" s="52" t="s">
        <v>73</v>
      </c>
    </row>
    <row r="452" spans="1:3" x14ac:dyDescent="0.25">
      <c r="A452" s="52" t="s">
        <v>521</v>
      </c>
      <c r="B452" s="56" t="s">
        <v>77</v>
      </c>
      <c r="C452" s="52" t="s">
        <v>73</v>
      </c>
    </row>
    <row r="453" spans="1:3" x14ac:dyDescent="0.25">
      <c r="A453" s="52" t="s">
        <v>522</v>
      </c>
      <c r="B453" s="56" t="s">
        <v>77</v>
      </c>
      <c r="C453" s="52" t="s">
        <v>73</v>
      </c>
    </row>
    <row r="454" spans="1:3" x14ac:dyDescent="0.25">
      <c r="A454" s="52" t="s">
        <v>523</v>
      </c>
      <c r="B454" s="56" t="s">
        <v>77</v>
      </c>
      <c r="C454" s="52" t="s">
        <v>73</v>
      </c>
    </row>
    <row r="455" spans="1:3" x14ac:dyDescent="0.25">
      <c r="A455" s="52" t="s">
        <v>524</v>
      </c>
      <c r="B455" s="56" t="s">
        <v>77</v>
      </c>
      <c r="C455" s="52" t="s">
        <v>73</v>
      </c>
    </row>
    <row r="456" spans="1:3" x14ac:dyDescent="0.25">
      <c r="A456" s="52" t="s">
        <v>525</v>
      </c>
      <c r="B456" s="56" t="s">
        <v>77</v>
      </c>
      <c r="C456" s="52" t="s">
        <v>73</v>
      </c>
    </row>
    <row r="457" spans="1:3" x14ac:dyDescent="0.25">
      <c r="A457" s="52" t="s">
        <v>526</v>
      </c>
      <c r="B457" s="56" t="s">
        <v>77</v>
      </c>
      <c r="C457" s="52" t="s">
        <v>73</v>
      </c>
    </row>
    <row r="458" spans="1:3" x14ac:dyDescent="0.25">
      <c r="A458" s="52" t="s">
        <v>527</v>
      </c>
      <c r="B458" s="56" t="s">
        <v>77</v>
      </c>
      <c r="C458" s="52" t="s">
        <v>73</v>
      </c>
    </row>
    <row r="459" spans="1:3" x14ac:dyDescent="0.25">
      <c r="A459" s="52" t="s">
        <v>528</v>
      </c>
      <c r="B459" s="56" t="s">
        <v>77</v>
      </c>
      <c r="C459" s="52" t="s">
        <v>73</v>
      </c>
    </row>
    <row r="460" spans="1:3" x14ac:dyDescent="0.25">
      <c r="A460" s="52" t="s">
        <v>529</v>
      </c>
      <c r="B460" s="56" t="s">
        <v>77</v>
      </c>
      <c r="C460" s="52" t="s">
        <v>73</v>
      </c>
    </row>
    <row r="461" spans="1:3" x14ac:dyDescent="0.25">
      <c r="A461" s="52" t="s">
        <v>530</v>
      </c>
      <c r="B461" s="56" t="s">
        <v>77</v>
      </c>
      <c r="C461" s="52" t="s">
        <v>73</v>
      </c>
    </row>
    <row r="462" spans="1:3" x14ac:dyDescent="0.25">
      <c r="A462" s="52" t="s">
        <v>531</v>
      </c>
      <c r="B462" s="56" t="s">
        <v>77</v>
      </c>
      <c r="C462" s="52" t="s">
        <v>73</v>
      </c>
    </row>
    <row r="463" spans="1:3" x14ac:dyDescent="0.25">
      <c r="A463" s="52" t="s">
        <v>532</v>
      </c>
      <c r="B463" s="56" t="s">
        <v>77</v>
      </c>
      <c r="C463" s="52" t="s">
        <v>73</v>
      </c>
    </row>
    <row r="464" spans="1:3" x14ac:dyDescent="0.25">
      <c r="A464" s="52" t="s">
        <v>533</v>
      </c>
      <c r="B464" s="56" t="s">
        <v>77</v>
      </c>
      <c r="C464" s="52" t="s">
        <v>73</v>
      </c>
    </row>
    <row r="465" spans="1:3" x14ac:dyDescent="0.25">
      <c r="A465" s="52" t="s">
        <v>534</v>
      </c>
      <c r="B465" s="56" t="s">
        <v>77</v>
      </c>
      <c r="C465" s="52" t="s">
        <v>73</v>
      </c>
    </row>
    <row r="466" spans="1:3" x14ac:dyDescent="0.25">
      <c r="A466" s="52" t="s">
        <v>535</v>
      </c>
      <c r="B466" s="56" t="s">
        <v>77</v>
      </c>
      <c r="C466" s="52" t="s">
        <v>73</v>
      </c>
    </row>
    <row r="467" spans="1:3" x14ac:dyDescent="0.25">
      <c r="A467" s="52" t="s">
        <v>536</v>
      </c>
      <c r="B467" s="56" t="s">
        <v>77</v>
      </c>
      <c r="C467" s="52" t="s">
        <v>73</v>
      </c>
    </row>
    <row r="468" spans="1:3" x14ac:dyDescent="0.25">
      <c r="A468" s="52" t="s">
        <v>537</v>
      </c>
      <c r="B468" s="56" t="s">
        <v>77</v>
      </c>
      <c r="C468" s="52" t="s">
        <v>73</v>
      </c>
    </row>
    <row r="469" spans="1:3" x14ac:dyDescent="0.25">
      <c r="A469" s="52" t="s">
        <v>538</v>
      </c>
      <c r="B469" s="56" t="s">
        <v>77</v>
      </c>
      <c r="C469" s="52" t="s">
        <v>73</v>
      </c>
    </row>
    <row r="470" spans="1:3" x14ac:dyDescent="0.25">
      <c r="A470" s="52" t="s">
        <v>539</v>
      </c>
      <c r="B470" s="56" t="s">
        <v>77</v>
      </c>
      <c r="C470" s="52" t="s">
        <v>73</v>
      </c>
    </row>
    <row r="471" spans="1:3" x14ac:dyDescent="0.25">
      <c r="A471" s="52" t="s">
        <v>540</v>
      </c>
      <c r="B471" s="56" t="s">
        <v>77</v>
      </c>
      <c r="C471" s="52" t="s">
        <v>73</v>
      </c>
    </row>
    <row r="472" spans="1:3" x14ac:dyDescent="0.25">
      <c r="A472" s="52" t="s">
        <v>541</v>
      </c>
      <c r="B472" s="56" t="s">
        <v>77</v>
      </c>
      <c r="C472" s="52" t="s">
        <v>73</v>
      </c>
    </row>
    <row r="473" spans="1:3" x14ac:dyDescent="0.25">
      <c r="A473" s="52" t="s">
        <v>542</v>
      </c>
      <c r="B473" s="56" t="s">
        <v>77</v>
      </c>
      <c r="C473" s="52" t="s">
        <v>73</v>
      </c>
    </row>
    <row r="474" spans="1:3" x14ac:dyDescent="0.25">
      <c r="A474" s="52" t="s">
        <v>543</v>
      </c>
      <c r="B474" s="56" t="s">
        <v>77</v>
      </c>
      <c r="C474" s="52" t="s">
        <v>73</v>
      </c>
    </row>
    <row r="475" spans="1:3" x14ac:dyDescent="0.25">
      <c r="A475" s="52" t="s">
        <v>544</v>
      </c>
      <c r="B475" s="56" t="s">
        <v>77</v>
      </c>
      <c r="C475" s="52" t="s">
        <v>73</v>
      </c>
    </row>
    <row r="476" spans="1:3" x14ac:dyDescent="0.25">
      <c r="A476" s="52" t="s">
        <v>545</v>
      </c>
      <c r="B476" s="56" t="s">
        <v>77</v>
      </c>
      <c r="C476" s="52" t="s">
        <v>73</v>
      </c>
    </row>
    <row r="477" spans="1:3" x14ac:dyDescent="0.25">
      <c r="A477" s="52" t="s">
        <v>546</v>
      </c>
      <c r="B477" s="56" t="s">
        <v>77</v>
      </c>
      <c r="C477" s="52" t="s">
        <v>73</v>
      </c>
    </row>
    <row r="478" spans="1:3" x14ac:dyDescent="0.25">
      <c r="A478" s="52" t="s">
        <v>547</v>
      </c>
      <c r="B478" s="56" t="s">
        <v>77</v>
      </c>
      <c r="C478" s="52" t="s">
        <v>73</v>
      </c>
    </row>
    <row r="479" spans="1:3" x14ac:dyDescent="0.25">
      <c r="A479" s="52" t="s">
        <v>548</v>
      </c>
      <c r="B479" s="56" t="s">
        <v>77</v>
      </c>
      <c r="C479" s="52" t="s">
        <v>73</v>
      </c>
    </row>
    <row r="480" spans="1:3" x14ac:dyDescent="0.25">
      <c r="A480" s="52" t="s">
        <v>549</v>
      </c>
      <c r="B480" s="56" t="s">
        <v>77</v>
      </c>
      <c r="C480" s="52" t="s">
        <v>73</v>
      </c>
    </row>
    <row r="481" spans="1:3" x14ac:dyDescent="0.25">
      <c r="A481" s="52" t="s">
        <v>550</v>
      </c>
      <c r="B481" s="56" t="s">
        <v>77</v>
      </c>
      <c r="C481" s="52" t="s">
        <v>73</v>
      </c>
    </row>
    <row r="482" spans="1:3" x14ac:dyDescent="0.25">
      <c r="A482" s="52" t="s">
        <v>551</v>
      </c>
      <c r="B482" s="56" t="s">
        <v>77</v>
      </c>
      <c r="C482" s="52" t="s">
        <v>73</v>
      </c>
    </row>
    <row r="483" spans="1:3" x14ac:dyDescent="0.25">
      <c r="A483" s="52" t="s">
        <v>552</v>
      </c>
      <c r="B483" s="56" t="s">
        <v>77</v>
      </c>
      <c r="C483" s="52" t="s">
        <v>73</v>
      </c>
    </row>
    <row r="484" spans="1:3" x14ac:dyDescent="0.25">
      <c r="A484" s="52" t="s">
        <v>553</v>
      </c>
      <c r="B484" s="56" t="s">
        <v>77</v>
      </c>
      <c r="C484" s="52" t="s">
        <v>73</v>
      </c>
    </row>
    <row r="485" spans="1:3" x14ac:dyDescent="0.25">
      <c r="A485" s="52" t="s">
        <v>554</v>
      </c>
      <c r="B485" s="56" t="s">
        <v>77</v>
      </c>
      <c r="C485" s="52" t="s">
        <v>73</v>
      </c>
    </row>
    <row r="486" spans="1:3" x14ac:dyDescent="0.25">
      <c r="A486" s="52" t="s">
        <v>555</v>
      </c>
      <c r="B486" s="56" t="s">
        <v>77</v>
      </c>
      <c r="C486" s="52" t="s">
        <v>73</v>
      </c>
    </row>
    <row r="487" spans="1:3" x14ac:dyDescent="0.25">
      <c r="A487" s="52" t="s">
        <v>556</v>
      </c>
      <c r="B487" s="56" t="s">
        <v>77</v>
      </c>
      <c r="C487" s="52" t="s">
        <v>73</v>
      </c>
    </row>
    <row r="488" spans="1:3" x14ac:dyDescent="0.25">
      <c r="A488" s="52" t="s">
        <v>557</v>
      </c>
      <c r="B488" s="56" t="s">
        <v>77</v>
      </c>
      <c r="C488" s="52" t="s">
        <v>73</v>
      </c>
    </row>
    <row r="489" spans="1:3" x14ac:dyDescent="0.25">
      <c r="A489" s="52" t="s">
        <v>558</v>
      </c>
      <c r="B489" s="56" t="s">
        <v>77</v>
      </c>
      <c r="C489" s="52" t="s">
        <v>73</v>
      </c>
    </row>
    <row r="490" spans="1:3" x14ac:dyDescent="0.25">
      <c r="A490" s="52" t="s">
        <v>559</v>
      </c>
      <c r="B490" s="56" t="s">
        <v>77</v>
      </c>
      <c r="C490" s="52" t="s">
        <v>73</v>
      </c>
    </row>
    <row r="491" spans="1:3" x14ac:dyDescent="0.25">
      <c r="A491" s="52" t="s">
        <v>560</v>
      </c>
      <c r="B491" s="56" t="s">
        <v>77</v>
      </c>
      <c r="C491" s="52" t="s">
        <v>73</v>
      </c>
    </row>
    <row r="492" spans="1:3" x14ac:dyDescent="0.25">
      <c r="A492" s="52" t="s">
        <v>561</v>
      </c>
      <c r="B492" s="56" t="s">
        <v>77</v>
      </c>
      <c r="C492" s="52" t="s">
        <v>73</v>
      </c>
    </row>
    <row r="493" spans="1:3" x14ac:dyDescent="0.25">
      <c r="A493" s="52" t="s">
        <v>562</v>
      </c>
      <c r="B493" s="56" t="s">
        <v>77</v>
      </c>
      <c r="C493" s="52" t="s">
        <v>73</v>
      </c>
    </row>
    <row r="494" spans="1:3" x14ac:dyDescent="0.25">
      <c r="A494" s="52" t="s">
        <v>563</v>
      </c>
      <c r="B494" s="56" t="s">
        <v>77</v>
      </c>
      <c r="C494" s="52" t="s">
        <v>73</v>
      </c>
    </row>
    <row r="495" spans="1:3" x14ac:dyDescent="0.25">
      <c r="A495" s="52" t="s">
        <v>564</v>
      </c>
      <c r="B495" s="56" t="s">
        <v>77</v>
      </c>
      <c r="C495" s="52" t="s">
        <v>73</v>
      </c>
    </row>
    <row r="496" spans="1:3" x14ac:dyDescent="0.25">
      <c r="A496" s="52" t="s">
        <v>565</v>
      </c>
      <c r="B496" s="56" t="s">
        <v>77</v>
      </c>
      <c r="C496" s="52" t="s">
        <v>73</v>
      </c>
    </row>
    <row r="497" spans="1:3" x14ac:dyDescent="0.25">
      <c r="A497" s="52" t="s">
        <v>566</v>
      </c>
      <c r="B497" s="56" t="s">
        <v>77</v>
      </c>
      <c r="C497" s="52" t="s">
        <v>73</v>
      </c>
    </row>
    <row r="498" spans="1:3" x14ac:dyDescent="0.25">
      <c r="A498" s="52" t="s">
        <v>567</v>
      </c>
      <c r="B498" s="56" t="s">
        <v>77</v>
      </c>
      <c r="C498" s="52" t="s">
        <v>73</v>
      </c>
    </row>
    <row r="499" spans="1:3" x14ac:dyDescent="0.25">
      <c r="A499" s="52" t="s">
        <v>568</v>
      </c>
      <c r="B499" s="56" t="s">
        <v>77</v>
      </c>
      <c r="C499" s="52" t="s">
        <v>73</v>
      </c>
    </row>
    <row r="500" spans="1:3" x14ac:dyDescent="0.25">
      <c r="A500" s="52" t="s">
        <v>569</v>
      </c>
      <c r="B500" s="56" t="s">
        <v>77</v>
      </c>
      <c r="C500" s="52" t="s">
        <v>73</v>
      </c>
    </row>
    <row r="501" spans="1:3" x14ac:dyDescent="0.25">
      <c r="A501" s="52" t="s">
        <v>570</v>
      </c>
      <c r="B501" s="56" t="s">
        <v>77</v>
      </c>
      <c r="C501" s="52" t="s">
        <v>73</v>
      </c>
    </row>
    <row r="502" spans="1:3" x14ac:dyDescent="0.25">
      <c r="A502" s="52" t="s">
        <v>571</v>
      </c>
      <c r="B502" s="56" t="s">
        <v>77</v>
      </c>
      <c r="C502" s="52" t="s">
        <v>73</v>
      </c>
    </row>
    <row r="503" spans="1:3" x14ac:dyDescent="0.25">
      <c r="A503" s="52" t="s">
        <v>572</v>
      </c>
      <c r="B503" s="56" t="s">
        <v>77</v>
      </c>
      <c r="C503" s="52" t="s">
        <v>73</v>
      </c>
    </row>
    <row r="504" spans="1:3" x14ac:dyDescent="0.25">
      <c r="A504" s="52" t="s">
        <v>573</v>
      </c>
      <c r="B504" s="56" t="s">
        <v>77</v>
      </c>
      <c r="C504" s="52" t="s">
        <v>73</v>
      </c>
    </row>
    <row r="505" spans="1:3" x14ac:dyDescent="0.25">
      <c r="A505" s="52" t="s">
        <v>574</v>
      </c>
      <c r="B505" s="56" t="s">
        <v>77</v>
      </c>
      <c r="C505" s="52" t="s">
        <v>73</v>
      </c>
    </row>
    <row r="506" spans="1:3" x14ac:dyDescent="0.25">
      <c r="A506" s="52" t="s">
        <v>575</v>
      </c>
      <c r="B506" s="56" t="s">
        <v>77</v>
      </c>
      <c r="C506" s="52" t="s">
        <v>73</v>
      </c>
    </row>
    <row r="507" spans="1:3" x14ac:dyDescent="0.25">
      <c r="A507" s="52" t="s">
        <v>576</v>
      </c>
      <c r="B507" s="56" t="s">
        <v>77</v>
      </c>
      <c r="C507" s="52" t="s">
        <v>73</v>
      </c>
    </row>
    <row r="508" spans="1:3" x14ac:dyDescent="0.25">
      <c r="A508" s="52" t="s">
        <v>577</v>
      </c>
      <c r="B508" s="56" t="s">
        <v>77</v>
      </c>
      <c r="C508" s="52" t="s">
        <v>73</v>
      </c>
    </row>
    <row r="509" spans="1:3" x14ac:dyDescent="0.25">
      <c r="A509" s="52" t="s">
        <v>578</v>
      </c>
      <c r="B509" s="56" t="s">
        <v>77</v>
      </c>
      <c r="C509" s="52" t="s">
        <v>73</v>
      </c>
    </row>
    <row r="510" spans="1:3" x14ac:dyDescent="0.25">
      <c r="A510" s="52" t="s">
        <v>579</v>
      </c>
      <c r="B510" s="56" t="s">
        <v>77</v>
      </c>
      <c r="C510" s="52" t="s">
        <v>73</v>
      </c>
    </row>
    <row r="511" spans="1:3" x14ac:dyDescent="0.25">
      <c r="A511" s="52" t="s">
        <v>580</v>
      </c>
      <c r="B511" s="56" t="s">
        <v>77</v>
      </c>
      <c r="C511" s="52" t="s">
        <v>73</v>
      </c>
    </row>
    <row r="512" spans="1:3" x14ac:dyDescent="0.25">
      <c r="A512" s="52" t="s">
        <v>581</v>
      </c>
      <c r="B512" s="56" t="s">
        <v>77</v>
      </c>
      <c r="C512" s="52" t="s">
        <v>73</v>
      </c>
    </row>
    <row r="513" spans="1:3" x14ac:dyDescent="0.25">
      <c r="A513" s="52" t="s">
        <v>582</v>
      </c>
      <c r="B513" s="56" t="s">
        <v>77</v>
      </c>
      <c r="C513" s="52" t="s">
        <v>73</v>
      </c>
    </row>
    <row r="514" spans="1:3" x14ac:dyDescent="0.25">
      <c r="A514" s="52" t="s">
        <v>583</v>
      </c>
      <c r="B514" s="56" t="s">
        <v>77</v>
      </c>
      <c r="C514" s="52" t="s">
        <v>73</v>
      </c>
    </row>
    <row r="515" spans="1:3" x14ac:dyDescent="0.25">
      <c r="A515" s="52" t="s">
        <v>584</v>
      </c>
      <c r="B515" s="56" t="s">
        <v>77</v>
      </c>
      <c r="C515" s="52" t="s">
        <v>73</v>
      </c>
    </row>
    <row r="516" spans="1:3" x14ac:dyDescent="0.25">
      <c r="A516" s="52" t="s">
        <v>585</v>
      </c>
      <c r="B516" s="56" t="s">
        <v>77</v>
      </c>
      <c r="C516" s="52" t="s">
        <v>73</v>
      </c>
    </row>
    <row r="517" spans="1:3" x14ac:dyDescent="0.25">
      <c r="A517" s="52" t="s">
        <v>586</v>
      </c>
      <c r="B517" s="56" t="s">
        <v>77</v>
      </c>
      <c r="C517" s="52" t="s">
        <v>73</v>
      </c>
    </row>
    <row r="518" spans="1:3" x14ac:dyDescent="0.25">
      <c r="A518" s="52" t="s">
        <v>587</v>
      </c>
      <c r="B518" s="56" t="s">
        <v>77</v>
      </c>
      <c r="C518" s="52" t="s">
        <v>73</v>
      </c>
    </row>
    <row r="519" spans="1:3" x14ac:dyDescent="0.25">
      <c r="A519" s="52" t="s">
        <v>588</v>
      </c>
      <c r="B519" s="56" t="s">
        <v>77</v>
      </c>
      <c r="C519" s="52" t="s">
        <v>73</v>
      </c>
    </row>
    <row r="520" spans="1:3" x14ac:dyDescent="0.25">
      <c r="A520" s="52" t="s">
        <v>589</v>
      </c>
      <c r="B520" s="56" t="s">
        <v>77</v>
      </c>
      <c r="C520" s="52" t="s">
        <v>73</v>
      </c>
    </row>
    <row r="521" spans="1:3" x14ac:dyDescent="0.25">
      <c r="A521" s="52" t="s">
        <v>590</v>
      </c>
      <c r="B521" s="56" t="s">
        <v>77</v>
      </c>
      <c r="C521" s="52" t="s">
        <v>73</v>
      </c>
    </row>
    <row r="522" spans="1:3" x14ac:dyDescent="0.25">
      <c r="A522" s="52" t="s">
        <v>591</v>
      </c>
      <c r="B522" s="56" t="s">
        <v>77</v>
      </c>
      <c r="C522" s="52" t="s">
        <v>73</v>
      </c>
    </row>
    <row r="523" spans="1:3" x14ac:dyDescent="0.25">
      <c r="A523" s="52" t="s">
        <v>592</v>
      </c>
      <c r="B523" s="56" t="s">
        <v>77</v>
      </c>
      <c r="C523" s="52" t="s">
        <v>73</v>
      </c>
    </row>
    <row r="524" spans="1:3" x14ac:dyDescent="0.25">
      <c r="A524" s="52" t="s">
        <v>593</v>
      </c>
      <c r="B524" s="56" t="s">
        <v>77</v>
      </c>
      <c r="C524" s="52" t="s">
        <v>73</v>
      </c>
    </row>
    <row r="525" spans="1:3" x14ac:dyDescent="0.25">
      <c r="A525" s="52" t="s">
        <v>594</v>
      </c>
      <c r="B525" s="56" t="s">
        <v>77</v>
      </c>
      <c r="C525" s="52" t="s">
        <v>73</v>
      </c>
    </row>
    <row r="526" spans="1:3" x14ac:dyDescent="0.25">
      <c r="A526" s="52" t="s">
        <v>595</v>
      </c>
      <c r="B526" s="56" t="s">
        <v>77</v>
      </c>
      <c r="C526" s="52" t="s">
        <v>73</v>
      </c>
    </row>
    <row r="527" spans="1:3" x14ac:dyDescent="0.25">
      <c r="A527" s="52" t="s">
        <v>596</v>
      </c>
      <c r="B527" s="56" t="s">
        <v>77</v>
      </c>
      <c r="C527" s="52" t="s">
        <v>73</v>
      </c>
    </row>
    <row r="528" spans="1:3" x14ac:dyDescent="0.25">
      <c r="A528" s="52" t="s">
        <v>597</v>
      </c>
      <c r="B528" s="56" t="s">
        <v>77</v>
      </c>
      <c r="C528" s="52" t="s">
        <v>73</v>
      </c>
    </row>
    <row r="529" spans="1:3" x14ac:dyDescent="0.25">
      <c r="A529" s="52" t="s">
        <v>598</v>
      </c>
      <c r="B529" s="56" t="s">
        <v>77</v>
      </c>
      <c r="C529" s="52" t="s">
        <v>73</v>
      </c>
    </row>
    <row r="530" spans="1:3" x14ac:dyDescent="0.25">
      <c r="A530" s="52" t="s">
        <v>599</v>
      </c>
      <c r="B530" s="56" t="s">
        <v>77</v>
      </c>
      <c r="C530" s="52" t="s">
        <v>73</v>
      </c>
    </row>
    <row r="531" spans="1:3" x14ac:dyDescent="0.25">
      <c r="A531" s="52" t="s">
        <v>600</v>
      </c>
      <c r="B531" s="56" t="s">
        <v>77</v>
      </c>
      <c r="C531" s="52" t="s">
        <v>73</v>
      </c>
    </row>
    <row r="532" spans="1:3" x14ac:dyDescent="0.25">
      <c r="A532" s="52" t="s">
        <v>601</v>
      </c>
      <c r="B532" s="56" t="s">
        <v>77</v>
      </c>
      <c r="C532" s="52" t="s">
        <v>73</v>
      </c>
    </row>
    <row r="533" spans="1:3" x14ac:dyDescent="0.25">
      <c r="A533" s="52" t="s">
        <v>602</v>
      </c>
      <c r="B533" s="56" t="s">
        <v>77</v>
      </c>
      <c r="C533" s="52" t="s">
        <v>73</v>
      </c>
    </row>
    <row r="534" spans="1:3" x14ac:dyDescent="0.25">
      <c r="A534" s="52" t="s">
        <v>603</v>
      </c>
      <c r="B534" s="56" t="s">
        <v>77</v>
      </c>
      <c r="C534" s="52" t="s">
        <v>73</v>
      </c>
    </row>
    <row r="535" spans="1:3" x14ac:dyDescent="0.25">
      <c r="A535" s="52" t="s">
        <v>604</v>
      </c>
      <c r="B535" s="56" t="s">
        <v>77</v>
      </c>
      <c r="C535" s="52" t="s">
        <v>73</v>
      </c>
    </row>
    <row r="536" spans="1:3" x14ac:dyDescent="0.25">
      <c r="A536" s="52" t="s">
        <v>605</v>
      </c>
      <c r="B536" s="56" t="s">
        <v>77</v>
      </c>
      <c r="C536" s="52" t="s">
        <v>73</v>
      </c>
    </row>
    <row r="537" spans="1:3" x14ac:dyDescent="0.25">
      <c r="A537" s="52" t="s">
        <v>606</v>
      </c>
      <c r="B537" s="56" t="s">
        <v>77</v>
      </c>
      <c r="C537" s="52" t="s">
        <v>73</v>
      </c>
    </row>
    <row r="538" spans="1:3" x14ac:dyDescent="0.25">
      <c r="A538" s="52" t="s">
        <v>607</v>
      </c>
      <c r="B538" s="56" t="s">
        <v>77</v>
      </c>
      <c r="C538" s="52" t="s">
        <v>73</v>
      </c>
    </row>
    <row r="539" spans="1:3" x14ac:dyDescent="0.25">
      <c r="A539" s="52" t="s">
        <v>608</v>
      </c>
      <c r="B539" s="56" t="s">
        <v>77</v>
      </c>
      <c r="C539" s="52" t="s">
        <v>73</v>
      </c>
    </row>
    <row r="540" spans="1:3" x14ac:dyDescent="0.25">
      <c r="A540" s="52" t="s">
        <v>609</v>
      </c>
      <c r="B540" s="56" t="s">
        <v>77</v>
      </c>
      <c r="C540" s="52" t="s">
        <v>73</v>
      </c>
    </row>
    <row r="541" spans="1:3" x14ac:dyDescent="0.25">
      <c r="A541" s="52" t="s">
        <v>610</v>
      </c>
      <c r="B541" s="56" t="s">
        <v>77</v>
      </c>
      <c r="C541" s="52" t="s">
        <v>73</v>
      </c>
    </row>
    <row r="542" spans="1:3" x14ac:dyDescent="0.25">
      <c r="A542" s="52" t="s">
        <v>611</v>
      </c>
      <c r="B542" s="56" t="s">
        <v>77</v>
      </c>
      <c r="C542" s="52" t="s">
        <v>73</v>
      </c>
    </row>
    <row r="543" spans="1:3" x14ac:dyDescent="0.25">
      <c r="A543" s="52" t="s">
        <v>612</v>
      </c>
      <c r="B543" s="56" t="s">
        <v>77</v>
      </c>
      <c r="C543" s="52" t="s">
        <v>73</v>
      </c>
    </row>
    <row r="544" spans="1:3" x14ac:dyDescent="0.25">
      <c r="A544" s="52" t="s">
        <v>613</v>
      </c>
      <c r="B544" s="56" t="s">
        <v>77</v>
      </c>
      <c r="C544" s="52" t="s">
        <v>73</v>
      </c>
    </row>
    <row r="545" spans="1:3" x14ac:dyDescent="0.25">
      <c r="A545" s="52" t="s">
        <v>614</v>
      </c>
      <c r="B545" s="56" t="s">
        <v>77</v>
      </c>
      <c r="C545" s="52" t="s">
        <v>73</v>
      </c>
    </row>
    <row r="546" spans="1:3" x14ac:dyDescent="0.25">
      <c r="A546" s="52" t="s">
        <v>615</v>
      </c>
      <c r="B546" s="56" t="s">
        <v>77</v>
      </c>
      <c r="C546" s="52" t="s">
        <v>73</v>
      </c>
    </row>
    <row r="547" spans="1:3" x14ac:dyDescent="0.25">
      <c r="A547" s="52" t="s">
        <v>616</v>
      </c>
      <c r="B547" s="56" t="s">
        <v>77</v>
      </c>
      <c r="C547" s="52" t="s">
        <v>73</v>
      </c>
    </row>
    <row r="548" spans="1:3" x14ac:dyDescent="0.25">
      <c r="A548" s="52" t="s">
        <v>617</v>
      </c>
      <c r="B548" s="56" t="s">
        <v>77</v>
      </c>
      <c r="C548" s="52" t="s">
        <v>73</v>
      </c>
    </row>
    <row r="549" spans="1:3" x14ac:dyDescent="0.25">
      <c r="A549" s="52" t="s">
        <v>618</v>
      </c>
      <c r="B549" s="56" t="s">
        <v>77</v>
      </c>
      <c r="C549" s="52" t="s">
        <v>73</v>
      </c>
    </row>
    <row r="550" spans="1:3" x14ac:dyDescent="0.25">
      <c r="A550" s="52" t="s">
        <v>619</v>
      </c>
      <c r="B550" s="56" t="s">
        <v>77</v>
      </c>
      <c r="C550" s="52" t="s">
        <v>73</v>
      </c>
    </row>
    <row r="551" spans="1:3" x14ac:dyDescent="0.25">
      <c r="A551" s="52" t="s">
        <v>620</v>
      </c>
      <c r="B551" s="56" t="s">
        <v>77</v>
      </c>
      <c r="C551" s="52" t="s">
        <v>73</v>
      </c>
    </row>
    <row r="552" spans="1:3" x14ac:dyDescent="0.25">
      <c r="A552" s="52" t="s">
        <v>621</v>
      </c>
      <c r="B552" s="56" t="s">
        <v>77</v>
      </c>
      <c r="C552" s="52" t="s">
        <v>73</v>
      </c>
    </row>
    <row r="553" spans="1:3" x14ac:dyDescent="0.25">
      <c r="A553" s="52" t="s">
        <v>622</v>
      </c>
      <c r="B553" s="56" t="s">
        <v>77</v>
      </c>
      <c r="C553" s="52" t="s">
        <v>73</v>
      </c>
    </row>
    <row r="554" spans="1:3" x14ac:dyDescent="0.25">
      <c r="A554" s="52" t="s">
        <v>623</v>
      </c>
      <c r="B554" s="56" t="s">
        <v>77</v>
      </c>
      <c r="C554" s="52" t="s">
        <v>73</v>
      </c>
    </row>
    <row r="555" spans="1:3" x14ac:dyDescent="0.25">
      <c r="A555" s="52" t="s">
        <v>624</v>
      </c>
      <c r="B555" s="56" t="s">
        <v>77</v>
      </c>
      <c r="C555" s="52" t="s">
        <v>73</v>
      </c>
    </row>
    <row r="556" spans="1:3" x14ac:dyDescent="0.25">
      <c r="A556" s="52" t="s">
        <v>625</v>
      </c>
      <c r="B556" s="56" t="s">
        <v>77</v>
      </c>
      <c r="C556" s="52" t="s">
        <v>73</v>
      </c>
    </row>
    <row r="557" spans="1:3" x14ac:dyDescent="0.25">
      <c r="A557" s="52" t="s">
        <v>626</v>
      </c>
      <c r="B557" s="56" t="s">
        <v>77</v>
      </c>
      <c r="C557" s="52" t="s">
        <v>73</v>
      </c>
    </row>
    <row r="558" spans="1:3" x14ac:dyDescent="0.25">
      <c r="A558" s="52" t="s">
        <v>627</v>
      </c>
      <c r="B558" s="56" t="s">
        <v>77</v>
      </c>
      <c r="C558" s="52" t="s">
        <v>73</v>
      </c>
    </row>
    <row r="559" spans="1:3" x14ac:dyDescent="0.25">
      <c r="A559" s="52" t="s">
        <v>628</v>
      </c>
      <c r="B559" s="56" t="s">
        <v>77</v>
      </c>
      <c r="C559" s="52" t="s">
        <v>73</v>
      </c>
    </row>
    <row r="560" spans="1:3" x14ac:dyDescent="0.25">
      <c r="A560" s="52" t="s">
        <v>629</v>
      </c>
      <c r="B560" s="56" t="s">
        <v>77</v>
      </c>
      <c r="C560" s="52" t="s">
        <v>73</v>
      </c>
    </row>
    <row r="561" spans="1:3" x14ac:dyDescent="0.25">
      <c r="A561" s="52" t="s">
        <v>630</v>
      </c>
      <c r="B561" s="56" t="s">
        <v>77</v>
      </c>
      <c r="C561" s="52" t="s">
        <v>73</v>
      </c>
    </row>
    <row r="562" spans="1:3" x14ac:dyDescent="0.25">
      <c r="A562" s="52" t="s">
        <v>631</v>
      </c>
      <c r="B562" s="56" t="s">
        <v>77</v>
      </c>
      <c r="C562" s="52" t="s">
        <v>73</v>
      </c>
    </row>
    <row r="563" spans="1:3" x14ac:dyDescent="0.25">
      <c r="A563" s="52" t="s">
        <v>632</v>
      </c>
      <c r="B563" s="56" t="s">
        <v>77</v>
      </c>
      <c r="C563" s="52" t="s">
        <v>73</v>
      </c>
    </row>
    <row r="564" spans="1:3" x14ac:dyDescent="0.25">
      <c r="A564" s="52" t="s">
        <v>633</v>
      </c>
      <c r="B564" s="56" t="s">
        <v>77</v>
      </c>
      <c r="C564" s="52" t="s">
        <v>73</v>
      </c>
    </row>
    <row r="565" spans="1:3" x14ac:dyDescent="0.25">
      <c r="A565" s="52" t="s">
        <v>634</v>
      </c>
      <c r="B565" s="56" t="s">
        <v>77</v>
      </c>
      <c r="C565" s="52" t="s">
        <v>73</v>
      </c>
    </row>
    <row r="566" spans="1:3" x14ac:dyDescent="0.25">
      <c r="A566" s="52" t="s">
        <v>635</v>
      </c>
      <c r="B566" s="56" t="s">
        <v>77</v>
      </c>
      <c r="C566" s="52" t="s">
        <v>73</v>
      </c>
    </row>
    <row r="567" spans="1:3" x14ac:dyDescent="0.25">
      <c r="A567" s="52" t="s">
        <v>636</v>
      </c>
      <c r="B567" s="56" t="s">
        <v>77</v>
      </c>
      <c r="C567" s="52" t="s">
        <v>73</v>
      </c>
    </row>
    <row r="568" spans="1:3" x14ac:dyDescent="0.25">
      <c r="A568" s="52" t="s">
        <v>637</v>
      </c>
      <c r="B568" s="56" t="s">
        <v>77</v>
      </c>
      <c r="C568" s="52" t="s">
        <v>73</v>
      </c>
    </row>
    <row r="569" spans="1:3" x14ac:dyDescent="0.25">
      <c r="A569" s="52" t="s">
        <v>638</v>
      </c>
      <c r="B569" s="56" t="s">
        <v>77</v>
      </c>
      <c r="C569" s="52" t="s">
        <v>73</v>
      </c>
    </row>
    <row r="570" spans="1:3" x14ac:dyDescent="0.25">
      <c r="A570" s="52" t="s">
        <v>639</v>
      </c>
      <c r="B570" s="56" t="s">
        <v>77</v>
      </c>
      <c r="C570" s="52" t="s">
        <v>73</v>
      </c>
    </row>
    <row r="571" spans="1:3" x14ac:dyDescent="0.25">
      <c r="A571" s="52" t="s">
        <v>640</v>
      </c>
      <c r="B571" s="56" t="s">
        <v>77</v>
      </c>
      <c r="C571" s="52" t="s">
        <v>73</v>
      </c>
    </row>
    <row r="572" spans="1:3" x14ac:dyDescent="0.25">
      <c r="A572" s="52" t="s">
        <v>641</v>
      </c>
      <c r="B572" s="56" t="s">
        <v>77</v>
      </c>
      <c r="C572" s="52" t="s">
        <v>73</v>
      </c>
    </row>
    <row r="573" spans="1:3" x14ac:dyDescent="0.25">
      <c r="A573" s="52" t="s">
        <v>642</v>
      </c>
      <c r="B573" s="56" t="s">
        <v>77</v>
      </c>
      <c r="C573" s="52" t="s">
        <v>73</v>
      </c>
    </row>
    <row r="574" spans="1:3" x14ac:dyDescent="0.25">
      <c r="A574" s="52" t="s">
        <v>643</v>
      </c>
      <c r="B574" s="56" t="s">
        <v>77</v>
      </c>
      <c r="C574" s="52" t="s">
        <v>73</v>
      </c>
    </row>
    <row r="575" spans="1:3" x14ac:dyDescent="0.25">
      <c r="A575" s="52" t="s">
        <v>644</v>
      </c>
      <c r="B575" s="56" t="s">
        <v>77</v>
      </c>
      <c r="C575" s="52" t="s">
        <v>73</v>
      </c>
    </row>
    <row r="576" spans="1:3" x14ac:dyDescent="0.25">
      <c r="A576" s="52" t="s">
        <v>645</v>
      </c>
      <c r="B576" s="56" t="s">
        <v>77</v>
      </c>
      <c r="C576" s="52" t="s">
        <v>73</v>
      </c>
    </row>
    <row r="577" spans="1:3" x14ac:dyDescent="0.25">
      <c r="A577" s="52" t="s">
        <v>646</v>
      </c>
      <c r="B577" s="56" t="s">
        <v>77</v>
      </c>
      <c r="C577" s="52" t="s">
        <v>73</v>
      </c>
    </row>
    <row r="578" spans="1:3" x14ac:dyDescent="0.25">
      <c r="A578" s="99" t="s">
        <v>647</v>
      </c>
      <c r="B578" s="103" t="s">
        <v>77</v>
      </c>
      <c r="C578" s="52" t="s">
        <v>73</v>
      </c>
    </row>
    <row r="579" spans="1:3" x14ac:dyDescent="0.25">
      <c r="A579" s="104" t="s">
        <v>708</v>
      </c>
      <c r="B579" s="103" t="s">
        <v>77</v>
      </c>
      <c r="C579" s="52" t="s">
        <v>73</v>
      </c>
    </row>
    <row r="580" spans="1:3" x14ac:dyDescent="0.25">
      <c r="A580" s="104" t="s">
        <v>709</v>
      </c>
      <c r="B580" s="103" t="s">
        <v>77</v>
      </c>
      <c r="C580" s="52" t="s">
        <v>73</v>
      </c>
    </row>
    <row r="581" spans="1:3" x14ac:dyDescent="0.25">
      <c r="B581" s="56"/>
    </row>
    <row r="582" spans="1:3" x14ac:dyDescent="0.25">
      <c r="B582" s="56"/>
    </row>
    <row r="583" spans="1:3" x14ac:dyDescent="0.25">
      <c r="B583" s="56"/>
    </row>
    <row r="584" spans="1:3" x14ac:dyDescent="0.25">
      <c r="B584" s="56"/>
    </row>
    <row r="585" spans="1:3" x14ac:dyDescent="0.25">
      <c r="B585" s="56"/>
    </row>
    <row r="586" spans="1:3" x14ac:dyDescent="0.25">
      <c r="B586" s="56"/>
    </row>
    <row r="587" spans="1:3" x14ac:dyDescent="0.25">
      <c r="B587" s="56"/>
    </row>
    <row r="588" spans="1:3" x14ac:dyDescent="0.25">
      <c r="B588" s="56"/>
    </row>
    <row r="589" spans="1:3" x14ac:dyDescent="0.25">
      <c r="B589" s="56"/>
    </row>
    <row r="590" spans="1:3" x14ac:dyDescent="0.25">
      <c r="B590" s="56"/>
    </row>
    <row r="591" spans="1:3" x14ac:dyDescent="0.25">
      <c r="B591" s="56"/>
    </row>
    <row r="592" spans="1:3" x14ac:dyDescent="0.25">
      <c r="B592" s="56"/>
    </row>
    <row r="593" spans="2:2" x14ac:dyDescent="0.25">
      <c r="B593" s="56"/>
    </row>
    <row r="594" spans="2:2" x14ac:dyDescent="0.25">
      <c r="B594" s="56"/>
    </row>
    <row r="595" spans="2:2" x14ac:dyDescent="0.25">
      <c r="B595" s="56"/>
    </row>
    <row r="596" spans="2:2" x14ac:dyDescent="0.25">
      <c r="B596" s="56"/>
    </row>
    <row r="597" spans="2:2" x14ac:dyDescent="0.25">
      <c r="B597" s="56"/>
    </row>
    <row r="598" spans="2:2" x14ac:dyDescent="0.25">
      <c r="B598" s="56"/>
    </row>
    <row r="599" spans="2:2" x14ac:dyDescent="0.25">
      <c r="B599" s="56"/>
    </row>
    <row r="600" spans="2:2" x14ac:dyDescent="0.25">
      <c r="B600" s="56"/>
    </row>
    <row r="601" spans="2:2" x14ac:dyDescent="0.25">
      <c r="B601" s="56"/>
    </row>
    <row r="602" spans="2:2" x14ac:dyDescent="0.25">
      <c r="B602" s="56"/>
    </row>
    <row r="603" spans="2:2" x14ac:dyDescent="0.25">
      <c r="B603" s="56"/>
    </row>
    <row r="604" spans="2:2" x14ac:dyDescent="0.25">
      <c r="B604" s="56"/>
    </row>
    <row r="605" spans="2:2" x14ac:dyDescent="0.25">
      <c r="B605" s="56"/>
    </row>
    <row r="606" spans="2:2" x14ac:dyDescent="0.25">
      <c r="B606" s="56"/>
    </row>
    <row r="607" spans="2:2" x14ac:dyDescent="0.25">
      <c r="B607" s="56"/>
    </row>
    <row r="608" spans="2:2" x14ac:dyDescent="0.25">
      <c r="B608" s="56"/>
    </row>
    <row r="609" spans="2:2" x14ac:dyDescent="0.25">
      <c r="B609" s="56"/>
    </row>
    <row r="610" spans="2:2" x14ac:dyDescent="0.25">
      <c r="B610" s="56"/>
    </row>
    <row r="611" spans="2:2" x14ac:dyDescent="0.25">
      <c r="B611" s="56"/>
    </row>
    <row r="612" spans="2:2" x14ac:dyDescent="0.25">
      <c r="B612" s="56"/>
    </row>
    <row r="613" spans="2:2" x14ac:dyDescent="0.25">
      <c r="B613" s="56"/>
    </row>
    <row r="614" spans="2:2" x14ac:dyDescent="0.25">
      <c r="B614" s="56"/>
    </row>
    <row r="615" spans="2:2" x14ac:dyDescent="0.25">
      <c r="B615" s="56"/>
    </row>
    <row r="616" spans="2:2" x14ac:dyDescent="0.25">
      <c r="B616" s="56"/>
    </row>
    <row r="617" spans="2:2" x14ac:dyDescent="0.25">
      <c r="B617" s="56"/>
    </row>
    <row r="618" spans="2:2" x14ac:dyDescent="0.25">
      <c r="B618" s="56"/>
    </row>
    <row r="619" spans="2:2" x14ac:dyDescent="0.25">
      <c r="B619" s="56"/>
    </row>
    <row r="620" spans="2:2" x14ac:dyDescent="0.25">
      <c r="B620" s="56"/>
    </row>
    <row r="621" spans="2:2" x14ac:dyDescent="0.25">
      <c r="B621" s="56"/>
    </row>
    <row r="622" spans="2:2" x14ac:dyDescent="0.25">
      <c r="B622" s="56"/>
    </row>
    <row r="623" spans="2:2" x14ac:dyDescent="0.25">
      <c r="B623" s="56"/>
    </row>
    <row r="624" spans="2:2" x14ac:dyDescent="0.25">
      <c r="B624" s="56"/>
    </row>
    <row r="625" spans="2:2" x14ac:dyDescent="0.25">
      <c r="B625" s="56"/>
    </row>
    <row r="626" spans="2:2" x14ac:dyDescent="0.25">
      <c r="B626" s="56"/>
    </row>
    <row r="627" spans="2:2" x14ac:dyDescent="0.25">
      <c r="B627" s="56"/>
    </row>
    <row r="628" spans="2:2" x14ac:dyDescent="0.25">
      <c r="B628" s="56"/>
    </row>
    <row r="629" spans="2:2" x14ac:dyDescent="0.25">
      <c r="B629" s="56"/>
    </row>
    <row r="630" spans="2:2" x14ac:dyDescent="0.25">
      <c r="B630" s="56"/>
    </row>
    <row r="631" spans="2:2" x14ac:dyDescent="0.25">
      <c r="B631" s="56"/>
    </row>
    <row r="632" spans="2:2" x14ac:dyDescent="0.25">
      <c r="B632" s="56"/>
    </row>
    <row r="633" spans="2:2" x14ac:dyDescent="0.25">
      <c r="B633" s="56"/>
    </row>
    <row r="634" spans="2:2" x14ac:dyDescent="0.25">
      <c r="B634" s="56"/>
    </row>
    <row r="635" spans="2:2" x14ac:dyDescent="0.25">
      <c r="B635" s="56"/>
    </row>
    <row r="636" spans="2:2" x14ac:dyDescent="0.25">
      <c r="B636" s="56"/>
    </row>
    <row r="637" spans="2:2" x14ac:dyDescent="0.25">
      <c r="B637" s="56"/>
    </row>
    <row r="638" spans="2:2" x14ac:dyDescent="0.25">
      <c r="B638" s="56"/>
    </row>
    <row r="639" spans="2:2" x14ac:dyDescent="0.25">
      <c r="B639" s="56"/>
    </row>
    <row r="640" spans="2:2" x14ac:dyDescent="0.25">
      <c r="B640" s="56"/>
    </row>
    <row r="641" spans="2:2" x14ac:dyDescent="0.25">
      <c r="B641" s="56"/>
    </row>
    <row r="642" spans="2:2" x14ac:dyDescent="0.25">
      <c r="B642" s="56"/>
    </row>
    <row r="643" spans="2:2" x14ac:dyDescent="0.25">
      <c r="B643" s="56"/>
    </row>
    <row r="644" spans="2:2" x14ac:dyDescent="0.25">
      <c r="B644" s="56"/>
    </row>
    <row r="645" spans="2:2" x14ac:dyDescent="0.25">
      <c r="B645" s="56"/>
    </row>
    <row r="646" spans="2:2" x14ac:dyDescent="0.25">
      <c r="B646" s="56"/>
    </row>
    <row r="647" spans="2:2" x14ac:dyDescent="0.25">
      <c r="B647" s="56"/>
    </row>
    <row r="648" spans="2:2" x14ac:dyDescent="0.25">
      <c r="B648" s="56"/>
    </row>
    <row r="649" spans="2:2" x14ac:dyDescent="0.25">
      <c r="B649" s="56"/>
    </row>
    <row r="650" spans="2:2" x14ac:dyDescent="0.25">
      <c r="B650" s="56"/>
    </row>
    <row r="651" spans="2:2" x14ac:dyDescent="0.25">
      <c r="B651" s="56"/>
    </row>
    <row r="652" spans="2:2" x14ac:dyDescent="0.25">
      <c r="B652" s="56"/>
    </row>
    <row r="653" spans="2:2" x14ac:dyDescent="0.25">
      <c r="B653" s="56"/>
    </row>
    <row r="654" spans="2:2" x14ac:dyDescent="0.25">
      <c r="B654" s="56"/>
    </row>
    <row r="655" spans="2:2" x14ac:dyDescent="0.25">
      <c r="B655" s="56"/>
    </row>
    <row r="656" spans="2:2" x14ac:dyDescent="0.25">
      <c r="B656" s="56"/>
    </row>
    <row r="657" spans="2:2" x14ac:dyDescent="0.25">
      <c r="B657" s="56"/>
    </row>
    <row r="658" spans="2:2" x14ac:dyDescent="0.25">
      <c r="B658" s="56"/>
    </row>
    <row r="659" spans="2:2" x14ac:dyDescent="0.25">
      <c r="B659" s="56"/>
    </row>
    <row r="660" spans="2:2" x14ac:dyDescent="0.25">
      <c r="B660" s="56"/>
    </row>
    <row r="661" spans="2:2" x14ac:dyDescent="0.25">
      <c r="B661" s="56"/>
    </row>
    <row r="662" spans="2:2" x14ac:dyDescent="0.25">
      <c r="B662" s="56"/>
    </row>
    <row r="663" spans="2:2" x14ac:dyDescent="0.25">
      <c r="B663" s="56"/>
    </row>
    <row r="664" spans="2:2" x14ac:dyDescent="0.25">
      <c r="B664" s="56"/>
    </row>
    <row r="665" spans="2:2" x14ac:dyDescent="0.25">
      <c r="B665" s="56"/>
    </row>
    <row r="666" spans="2:2" x14ac:dyDescent="0.25">
      <c r="B666" s="56"/>
    </row>
    <row r="667" spans="2:2" x14ac:dyDescent="0.25">
      <c r="B667" s="56"/>
    </row>
    <row r="668" spans="2:2" x14ac:dyDescent="0.25">
      <c r="B668" s="56"/>
    </row>
    <row r="669" spans="2:2" x14ac:dyDescent="0.25">
      <c r="B669" s="56"/>
    </row>
    <row r="670" spans="2:2" x14ac:dyDescent="0.25">
      <c r="B670" s="56"/>
    </row>
    <row r="671" spans="2:2" x14ac:dyDescent="0.25">
      <c r="B671" s="56"/>
    </row>
    <row r="672" spans="2:2" x14ac:dyDescent="0.25">
      <c r="B672" s="56"/>
    </row>
    <row r="673" spans="2:2" x14ac:dyDescent="0.25">
      <c r="B673" s="56"/>
    </row>
    <row r="674" spans="2:2" x14ac:dyDescent="0.25">
      <c r="B674" s="56"/>
    </row>
    <row r="675" spans="2:2" x14ac:dyDescent="0.25">
      <c r="B675" s="56"/>
    </row>
    <row r="676" spans="2:2" x14ac:dyDescent="0.25">
      <c r="B676" s="56"/>
    </row>
    <row r="677" spans="2:2" x14ac:dyDescent="0.25">
      <c r="B677" s="56"/>
    </row>
    <row r="678" spans="2:2" x14ac:dyDescent="0.25">
      <c r="B678" s="56"/>
    </row>
    <row r="679" spans="2:2" x14ac:dyDescent="0.25">
      <c r="B679" s="56"/>
    </row>
    <row r="680" spans="2:2" x14ac:dyDescent="0.25">
      <c r="B680" s="56"/>
    </row>
    <row r="681" spans="2:2" x14ac:dyDescent="0.25">
      <c r="B681" s="56"/>
    </row>
    <row r="682" spans="2:2" x14ac:dyDescent="0.25">
      <c r="B682" s="56"/>
    </row>
    <row r="683" spans="2:2" x14ac:dyDescent="0.25">
      <c r="B683" s="56"/>
    </row>
    <row r="684" spans="2:2" x14ac:dyDescent="0.25">
      <c r="B684" s="56"/>
    </row>
    <row r="685" spans="2:2" x14ac:dyDescent="0.25">
      <c r="B685" s="56"/>
    </row>
    <row r="686" spans="2:2" x14ac:dyDescent="0.25">
      <c r="B686" s="56"/>
    </row>
    <row r="687" spans="2:2" x14ac:dyDescent="0.25">
      <c r="B687" s="56"/>
    </row>
    <row r="688" spans="2:2" x14ac:dyDescent="0.25">
      <c r="B688" s="56"/>
    </row>
    <row r="689" spans="2:2" x14ac:dyDescent="0.25">
      <c r="B689" s="56"/>
    </row>
    <row r="690" spans="2:2" x14ac:dyDescent="0.25">
      <c r="B690" s="56"/>
    </row>
    <row r="691" spans="2:2" x14ac:dyDescent="0.25">
      <c r="B691" s="56"/>
    </row>
    <row r="692" spans="2:2" x14ac:dyDescent="0.25">
      <c r="B692" s="56"/>
    </row>
    <row r="693" spans="2:2" x14ac:dyDescent="0.25">
      <c r="B693" s="56"/>
    </row>
    <row r="694" spans="2:2" x14ac:dyDescent="0.25">
      <c r="B694" s="56"/>
    </row>
    <row r="695" spans="2:2" x14ac:dyDescent="0.25">
      <c r="B695" s="56"/>
    </row>
    <row r="696" spans="2:2" x14ac:dyDescent="0.25">
      <c r="B696" s="56"/>
    </row>
    <row r="697" spans="2:2" x14ac:dyDescent="0.25">
      <c r="B697" s="56"/>
    </row>
    <row r="698" spans="2:2" x14ac:dyDescent="0.25">
      <c r="B698" s="56"/>
    </row>
    <row r="699" spans="2:2" x14ac:dyDescent="0.25">
      <c r="B699" s="56"/>
    </row>
    <row r="700" spans="2:2" x14ac:dyDescent="0.25">
      <c r="B700" s="56"/>
    </row>
    <row r="701" spans="2:2" x14ac:dyDescent="0.25">
      <c r="B701" s="56"/>
    </row>
    <row r="702" spans="2:2" x14ac:dyDescent="0.25">
      <c r="B702" s="56"/>
    </row>
    <row r="703" spans="2:2" x14ac:dyDescent="0.25">
      <c r="B703" s="56"/>
    </row>
    <row r="704" spans="2:2" x14ac:dyDescent="0.25">
      <c r="B704" s="56"/>
    </row>
    <row r="705" spans="2:2" x14ac:dyDescent="0.25">
      <c r="B705" s="56"/>
    </row>
    <row r="706" spans="2:2" x14ac:dyDescent="0.25">
      <c r="B706" s="56"/>
    </row>
    <row r="707" spans="2:2" x14ac:dyDescent="0.25">
      <c r="B707" s="5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4"/>
  <sheetViews>
    <sheetView workbookViewId="0">
      <selection activeCell="A26" sqref="A26"/>
    </sheetView>
  </sheetViews>
  <sheetFormatPr defaultRowHeight="15" x14ac:dyDescent="0.25"/>
  <cols>
    <col min="1" max="1" width="12.28515625" style="52" bestFit="1" customWidth="1"/>
    <col min="2" max="2" width="16.5703125" style="52" customWidth="1"/>
    <col min="3" max="3" width="23.5703125" style="52" bestFit="1" customWidth="1"/>
    <col min="4" max="256" width="9.140625" style="52"/>
    <col min="257" max="257" width="12.5703125" style="52" customWidth="1"/>
    <col min="258" max="258" width="12.28515625" style="52" bestFit="1" customWidth="1"/>
    <col min="259" max="512" width="9.140625" style="52"/>
    <col min="513" max="513" width="12.5703125" style="52" customWidth="1"/>
    <col min="514" max="514" width="12.28515625" style="52" bestFit="1" customWidth="1"/>
    <col min="515" max="768" width="9.140625" style="52"/>
    <col min="769" max="769" width="12.5703125" style="52" customWidth="1"/>
    <col min="770" max="770" width="12.28515625" style="52" bestFit="1" customWidth="1"/>
    <col min="771" max="1024" width="9.140625" style="52"/>
    <col min="1025" max="1025" width="12.5703125" style="52" customWidth="1"/>
    <col min="1026" max="1026" width="12.28515625" style="52" bestFit="1" customWidth="1"/>
    <col min="1027" max="1280" width="9.140625" style="52"/>
    <col min="1281" max="1281" width="12.5703125" style="52" customWidth="1"/>
    <col min="1282" max="1282" width="12.28515625" style="52" bestFit="1" customWidth="1"/>
    <col min="1283" max="1536" width="9.140625" style="52"/>
    <col min="1537" max="1537" width="12.5703125" style="52" customWidth="1"/>
    <col min="1538" max="1538" width="12.28515625" style="52" bestFit="1" customWidth="1"/>
    <col min="1539" max="1792" width="9.140625" style="52"/>
    <col min="1793" max="1793" width="12.5703125" style="52" customWidth="1"/>
    <col min="1794" max="1794" width="12.28515625" style="52" bestFit="1" customWidth="1"/>
    <col min="1795" max="2048" width="9.140625" style="52"/>
    <col min="2049" max="2049" width="12.5703125" style="52" customWidth="1"/>
    <col min="2050" max="2050" width="12.28515625" style="52" bestFit="1" customWidth="1"/>
    <col min="2051" max="2304" width="9.140625" style="52"/>
    <col min="2305" max="2305" width="12.5703125" style="52" customWidth="1"/>
    <col min="2306" max="2306" width="12.28515625" style="52" bestFit="1" customWidth="1"/>
    <col min="2307" max="2560" width="9.140625" style="52"/>
    <col min="2561" max="2561" width="12.5703125" style="52" customWidth="1"/>
    <col min="2562" max="2562" width="12.28515625" style="52" bestFit="1" customWidth="1"/>
    <col min="2563" max="2816" width="9.140625" style="52"/>
    <col min="2817" max="2817" width="12.5703125" style="52" customWidth="1"/>
    <col min="2818" max="2818" width="12.28515625" style="52" bestFit="1" customWidth="1"/>
    <col min="2819" max="3072" width="9.140625" style="52"/>
    <col min="3073" max="3073" width="12.5703125" style="52" customWidth="1"/>
    <col min="3074" max="3074" width="12.28515625" style="52" bestFit="1" customWidth="1"/>
    <col min="3075" max="3328" width="9.140625" style="52"/>
    <col min="3329" max="3329" width="12.5703125" style="52" customWidth="1"/>
    <col min="3330" max="3330" width="12.28515625" style="52" bestFit="1" customWidth="1"/>
    <col min="3331" max="3584" width="9.140625" style="52"/>
    <col min="3585" max="3585" width="12.5703125" style="52" customWidth="1"/>
    <col min="3586" max="3586" width="12.28515625" style="52" bestFit="1" customWidth="1"/>
    <col min="3587" max="3840" width="9.140625" style="52"/>
    <col min="3841" max="3841" width="12.5703125" style="52" customWidth="1"/>
    <col min="3842" max="3842" width="12.28515625" style="52" bestFit="1" customWidth="1"/>
    <col min="3843" max="4096" width="9.140625" style="52"/>
    <col min="4097" max="4097" width="12.5703125" style="52" customWidth="1"/>
    <col min="4098" max="4098" width="12.28515625" style="52" bestFit="1" customWidth="1"/>
    <col min="4099" max="4352" width="9.140625" style="52"/>
    <col min="4353" max="4353" width="12.5703125" style="52" customWidth="1"/>
    <col min="4354" max="4354" width="12.28515625" style="52" bestFit="1" customWidth="1"/>
    <col min="4355" max="4608" width="9.140625" style="52"/>
    <col min="4609" max="4609" width="12.5703125" style="52" customWidth="1"/>
    <col min="4610" max="4610" width="12.28515625" style="52" bestFit="1" customWidth="1"/>
    <col min="4611" max="4864" width="9.140625" style="52"/>
    <col min="4865" max="4865" width="12.5703125" style="52" customWidth="1"/>
    <col min="4866" max="4866" width="12.28515625" style="52" bestFit="1" customWidth="1"/>
    <col min="4867" max="5120" width="9.140625" style="52"/>
    <col min="5121" max="5121" width="12.5703125" style="52" customWidth="1"/>
    <col min="5122" max="5122" width="12.28515625" style="52" bestFit="1" customWidth="1"/>
    <col min="5123" max="5376" width="9.140625" style="52"/>
    <col min="5377" max="5377" width="12.5703125" style="52" customWidth="1"/>
    <col min="5378" max="5378" width="12.28515625" style="52" bestFit="1" customWidth="1"/>
    <col min="5379" max="5632" width="9.140625" style="52"/>
    <col min="5633" max="5633" width="12.5703125" style="52" customWidth="1"/>
    <col min="5634" max="5634" width="12.28515625" style="52" bestFit="1" customWidth="1"/>
    <col min="5635" max="5888" width="9.140625" style="52"/>
    <col min="5889" max="5889" width="12.5703125" style="52" customWidth="1"/>
    <col min="5890" max="5890" width="12.28515625" style="52" bestFit="1" customWidth="1"/>
    <col min="5891" max="6144" width="9.140625" style="52"/>
    <col min="6145" max="6145" width="12.5703125" style="52" customWidth="1"/>
    <col min="6146" max="6146" width="12.28515625" style="52" bestFit="1" customWidth="1"/>
    <col min="6147" max="6400" width="9.140625" style="52"/>
    <col min="6401" max="6401" width="12.5703125" style="52" customWidth="1"/>
    <col min="6402" max="6402" width="12.28515625" style="52" bestFit="1" customWidth="1"/>
    <col min="6403" max="6656" width="9.140625" style="52"/>
    <col min="6657" max="6657" width="12.5703125" style="52" customWidth="1"/>
    <col min="6658" max="6658" width="12.28515625" style="52" bestFit="1" customWidth="1"/>
    <col min="6659" max="6912" width="9.140625" style="52"/>
    <col min="6913" max="6913" width="12.5703125" style="52" customWidth="1"/>
    <col min="6914" max="6914" width="12.28515625" style="52" bestFit="1" customWidth="1"/>
    <col min="6915" max="7168" width="9.140625" style="52"/>
    <col min="7169" max="7169" width="12.5703125" style="52" customWidth="1"/>
    <col min="7170" max="7170" width="12.28515625" style="52" bestFit="1" customWidth="1"/>
    <col min="7171" max="7424" width="9.140625" style="52"/>
    <col min="7425" max="7425" width="12.5703125" style="52" customWidth="1"/>
    <col min="7426" max="7426" width="12.28515625" style="52" bestFit="1" customWidth="1"/>
    <col min="7427" max="7680" width="9.140625" style="52"/>
    <col min="7681" max="7681" width="12.5703125" style="52" customWidth="1"/>
    <col min="7682" max="7682" width="12.28515625" style="52" bestFit="1" customWidth="1"/>
    <col min="7683" max="7936" width="9.140625" style="52"/>
    <col min="7937" max="7937" width="12.5703125" style="52" customWidth="1"/>
    <col min="7938" max="7938" width="12.28515625" style="52" bestFit="1" customWidth="1"/>
    <col min="7939" max="8192" width="9.140625" style="52"/>
    <col min="8193" max="8193" width="12.5703125" style="52" customWidth="1"/>
    <col min="8194" max="8194" width="12.28515625" style="52" bestFit="1" customWidth="1"/>
    <col min="8195" max="8448" width="9.140625" style="52"/>
    <col min="8449" max="8449" width="12.5703125" style="52" customWidth="1"/>
    <col min="8450" max="8450" width="12.28515625" style="52" bestFit="1" customWidth="1"/>
    <col min="8451" max="8704" width="9.140625" style="52"/>
    <col min="8705" max="8705" width="12.5703125" style="52" customWidth="1"/>
    <col min="8706" max="8706" width="12.28515625" style="52" bestFit="1" customWidth="1"/>
    <col min="8707" max="8960" width="9.140625" style="52"/>
    <col min="8961" max="8961" width="12.5703125" style="52" customWidth="1"/>
    <col min="8962" max="8962" width="12.28515625" style="52" bestFit="1" customWidth="1"/>
    <col min="8963" max="9216" width="9.140625" style="52"/>
    <col min="9217" max="9217" width="12.5703125" style="52" customWidth="1"/>
    <col min="9218" max="9218" width="12.28515625" style="52" bestFit="1" customWidth="1"/>
    <col min="9219" max="9472" width="9.140625" style="52"/>
    <col min="9473" max="9473" width="12.5703125" style="52" customWidth="1"/>
    <col min="9474" max="9474" width="12.28515625" style="52" bestFit="1" customWidth="1"/>
    <col min="9475" max="9728" width="9.140625" style="52"/>
    <col min="9729" max="9729" width="12.5703125" style="52" customWidth="1"/>
    <col min="9730" max="9730" width="12.28515625" style="52" bestFit="1" customWidth="1"/>
    <col min="9731" max="9984" width="9.140625" style="52"/>
    <col min="9985" max="9985" width="12.5703125" style="52" customWidth="1"/>
    <col min="9986" max="9986" width="12.28515625" style="52" bestFit="1" customWidth="1"/>
    <col min="9987" max="10240" width="9.140625" style="52"/>
    <col min="10241" max="10241" width="12.5703125" style="52" customWidth="1"/>
    <col min="10242" max="10242" width="12.28515625" style="52" bestFit="1" customWidth="1"/>
    <col min="10243" max="10496" width="9.140625" style="52"/>
    <col min="10497" max="10497" width="12.5703125" style="52" customWidth="1"/>
    <col min="10498" max="10498" width="12.28515625" style="52" bestFit="1" customWidth="1"/>
    <col min="10499" max="10752" width="9.140625" style="52"/>
    <col min="10753" max="10753" width="12.5703125" style="52" customWidth="1"/>
    <col min="10754" max="10754" width="12.28515625" style="52" bestFit="1" customWidth="1"/>
    <col min="10755" max="11008" width="9.140625" style="52"/>
    <col min="11009" max="11009" width="12.5703125" style="52" customWidth="1"/>
    <col min="11010" max="11010" width="12.28515625" style="52" bestFit="1" customWidth="1"/>
    <col min="11011" max="11264" width="9.140625" style="52"/>
    <col min="11265" max="11265" width="12.5703125" style="52" customWidth="1"/>
    <col min="11266" max="11266" width="12.28515625" style="52" bestFit="1" customWidth="1"/>
    <col min="11267" max="11520" width="9.140625" style="52"/>
    <col min="11521" max="11521" width="12.5703125" style="52" customWidth="1"/>
    <col min="11522" max="11522" width="12.28515625" style="52" bestFit="1" customWidth="1"/>
    <col min="11523" max="11776" width="9.140625" style="52"/>
    <col min="11777" max="11777" width="12.5703125" style="52" customWidth="1"/>
    <col min="11778" max="11778" width="12.28515625" style="52" bestFit="1" customWidth="1"/>
    <col min="11779" max="12032" width="9.140625" style="52"/>
    <col min="12033" max="12033" width="12.5703125" style="52" customWidth="1"/>
    <col min="12034" max="12034" width="12.28515625" style="52" bestFit="1" customWidth="1"/>
    <col min="12035" max="12288" width="9.140625" style="52"/>
    <col min="12289" max="12289" width="12.5703125" style="52" customWidth="1"/>
    <col min="12290" max="12290" width="12.28515625" style="52" bestFit="1" customWidth="1"/>
    <col min="12291" max="12544" width="9.140625" style="52"/>
    <col min="12545" max="12545" width="12.5703125" style="52" customWidth="1"/>
    <col min="12546" max="12546" width="12.28515625" style="52" bestFit="1" customWidth="1"/>
    <col min="12547" max="12800" width="9.140625" style="52"/>
    <col min="12801" max="12801" width="12.5703125" style="52" customWidth="1"/>
    <col min="12802" max="12802" width="12.28515625" style="52" bestFit="1" customWidth="1"/>
    <col min="12803" max="13056" width="9.140625" style="52"/>
    <col min="13057" max="13057" width="12.5703125" style="52" customWidth="1"/>
    <col min="13058" max="13058" width="12.28515625" style="52" bestFit="1" customWidth="1"/>
    <col min="13059" max="13312" width="9.140625" style="52"/>
    <col min="13313" max="13313" width="12.5703125" style="52" customWidth="1"/>
    <col min="13314" max="13314" width="12.28515625" style="52" bestFit="1" customWidth="1"/>
    <col min="13315" max="13568" width="9.140625" style="52"/>
    <col min="13569" max="13569" width="12.5703125" style="52" customWidth="1"/>
    <col min="13570" max="13570" width="12.28515625" style="52" bestFit="1" customWidth="1"/>
    <col min="13571" max="13824" width="9.140625" style="52"/>
    <col min="13825" max="13825" width="12.5703125" style="52" customWidth="1"/>
    <col min="13826" max="13826" width="12.28515625" style="52" bestFit="1" customWidth="1"/>
    <col min="13827" max="14080" width="9.140625" style="52"/>
    <col min="14081" max="14081" width="12.5703125" style="52" customWidth="1"/>
    <col min="14082" max="14082" width="12.28515625" style="52" bestFit="1" customWidth="1"/>
    <col min="14083" max="14336" width="9.140625" style="52"/>
    <col min="14337" max="14337" width="12.5703125" style="52" customWidth="1"/>
    <col min="14338" max="14338" width="12.28515625" style="52" bestFit="1" customWidth="1"/>
    <col min="14339" max="14592" width="9.140625" style="52"/>
    <col min="14593" max="14593" width="12.5703125" style="52" customWidth="1"/>
    <col min="14594" max="14594" width="12.28515625" style="52" bestFit="1" customWidth="1"/>
    <col min="14595" max="14848" width="9.140625" style="52"/>
    <col min="14849" max="14849" width="12.5703125" style="52" customWidth="1"/>
    <col min="14850" max="14850" width="12.28515625" style="52" bestFit="1" customWidth="1"/>
    <col min="14851" max="15104" width="9.140625" style="52"/>
    <col min="15105" max="15105" width="12.5703125" style="52" customWidth="1"/>
    <col min="15106" max="15106" width="12.28515625" style="52" bestFit="1" customWidth="1"/>
    <col min="15107" max="15360" width="9.140625" style="52"/>
    <col min="15361" max="15361" width="12.5703125" style="52" customWidth="1"/>
    <col min="15362" max="15362" width="12.28515625" style="52" bestFit="1" customWidth="1"/>
    <col min="15363" max="15616" width="9.140625" style="52"/>
    <col min="15617" max="15617" width="12.5703125" style="52" customWidth="1"/>
    <col min="15618" max="15618" width="12.28515625" style="52" bestFit="1" customWidth="1"/>
    <col min="15619" max="15872" width="9.140625" style="52"/>
    <col min="15873" max="15873" width="12.5703125" style="52" customWidth="1"/>
    <col min="15874" max="15874" width="12.28515625" style="52" bestFit="1" customWidth="1"/>
    <col min="15875" max="16128" width="9.140625" style="52"/>
    <col min="16129" max="16129" width="12.5703125" style="52" customWidth="1"/>
    <col min="16130" max="16130" width="12.28515625" style="52" bestFit="1" customWidth="1"/>
    <col min="16131" max="16384" width="9.140625" style="52"/>
  </cols>
  <sheetData>
    <row r="1" spans="1:3" x14ac:dyDescent="0.25">
      <c r="A1" s="45" t="s">
        <v>0</v>
      </c>
      <c r="B1" s="46" t="s">
        <v>75</v>
      </c>
      <c r="C1" s="47" t="s">
        <v>62</v>
      </c>
    </row>
    <row r="2" spans="1:3" x14ac:dyDescent="0.25">
      <c r="A2" s="100" t="s">
        <v>695</v>
      </c>
      <c r="B2" s="100" t="s">
        <v>77</v>
      </c>
      <c r="C2" s="101" t="s">
        <v>701</v>
      </c>
    </row>
    <row r="3" spans="1:3" x14ac:dyDescent="0.25">
      <c r="A3" s="100" t="s">
        <v>648</v>
      </c>
      <c r="B3" s="100" t="s">
        <v>77</v>
      </c>
      <c r="C3" s="101" t="s">
        <v>671</v>
      </c>
    </row>
    <row r="4" spans="1:3" x14ac:dyDescent="0.25">
      <c r="A4" s="100" t="s">
        <v>649</v>
      </c>
      <c r="B4" s="100" t="s">
        <v>77</v>
      </c>
      <c r="C4" s="101" t="s">
        <v>672</v>
      </c>
    </row>
    <row r="5" spans="1:3" x14ac:dyDescent="0.25">
      <c r="A5" s="100" t="s">
        <v>650</v>
      </c>
      <c r="B5" s="100" t="s">
        <v>77</v>
      </c>
      <c r="C5" s="101" t="s">
        <v>673</v>
      </c>
    </row>
    <row r="6" spans="1:3" x14ac:dyDescent="0.25">
      <c r="A6" s="100" t="s">
        <v>651</v>
      </c>
      <c r="B6" s="100" t="s">
        <v>77</v>
      </c>
      <c r="C6" s="101" t="s">
        <v>674</v>
      </c>
    </row>
    <row r="7" spans="1:3" x14ac:dyDescent="0.25">
      <c r="A7" s="100" t="s">
        <v>652</v>
      </c>
      <c r="B7" s="100" t="s">
        <v>77</v>
      </c>
      <c r="C7" s="101" t="s">
        <v>675</v>
      </c>
    </row>
    <row r="8" spans="1:3" x14ac:dyDescent="0.25">
      <c r="A8" s="100" t="s">
        <v>653</v>
      </c>
      <c r="B8" s="100" t="s">
        <v>77</v>
      </c>
      <c r="C8" s="101" t="s">
        <v>676</v>
      </c>
    </row>
    <row r="9" spans="1:3" x14ac:dyDescent="0.25">
      <c r="A9" s="100" t="s">
        <v>654</v>
      </c>
      <c r="B9" s="100" t="s">
        <v>77</v>
      </c>
      <c r="C9" s="101" t="s">
        <v>677</v>
      </c>
    </row>
    <row r="10" spans="1:3" x14ac:dyDescent="0.25">
      <c r="A10" s="100" t="s">
        <v>655</v>
      </c>
      <c r="B10" s="100" t="s">
        <v>77</v>
      </c>
      <c r="C10" s="101" t="s">
        <v>678</v>
      </c>
    </row>
    <row r="11" spans="1:3" x14ac:dyDescent="0.25">
      <c r="A11" s="100" t="s">
        <v>656</v>
      </c>
      <c r="B11" s="100" t="s">
        <v>77</v>
      </c>
      <c r="C11" s="101" t="s">
        <v>679</v>
      </c>
    </row>
    <row r="12" spans="1:3" x14ac:dyDescent="0.25">
      <c r="A12" s="100" t="s">
        <v>657</v>
      </c>
      <c r="B12" s="100" t="s">
        <v>77</v>
      </c>
      <c r="C12" s="101" t="s">
        <v>680</v>
      </c>
    </row>
    <row r="13" spans="1:3" x14ac:dyDescent="0.25">
      <c r="A13" s="100" t="s">
        <v>658</v>
      </c>
      <c r="B13" s="100" t="s">
        <v>77</v>
      </c>
      <c r="C13" s="101" t="s">
        <v>681</v>
      </c>
    </row>
    <row r="14" spans="1:3" x14ac:dyDescent="0.25">
      <c r="A14" s="100" t="s">
        <v>659</v>
      </c>
      <c r="B14" s="100" t="s">
        <v>77</v>
      </c>
      <c r="C14" s="101" t="s">
        <v>682</v>
      </c>
    </row>
    <row r="15" spans="1:3" x14ac:dyDescent="0.25">
      <c r="A15" s="100" t="s">
        <v>660</v>
      </c>
      <c r="B15" s="100" t="s">
        <v>77</v>
      </c>
      <c r="C15" s="101" t="s">
        <v>683</v>
      </c>
    </row>
    <row r="16" spans="1:3" x14ac:dyDescent="0.25">
      <c r="A16" s="100" t="s">
        <v>661</v>
      </c>
      <c r="B16" s="100" t="s">
        <v>77</v>
      </c>
      <c r="C16" s="101" t="s">
        <v>684</v>
      </c>
    </row>
    <row r="17" spans="1:3" x14ac:dyDescent="0.25">
      <c r="A17" s="100" t="s">
        <v>662</v>
      </c>
      <c r="B17" s="100" t="s">
        <v>77</v>
      </c>
      <c r="C17" s="101" t="s">
        <v>685</v>
      </c>
    </row>
    <row r="18" spans="1:3" x14ac:dyDescent="0.25">
      <c r="A18" s="100" t="s">
        <v>663</v>
      </c>
      <c r="B18" s="100" t="s">
        <v>77</v>
      </c>
      <c r="C18" s="101" t="s">
        <v>686</v>
      </c>
    </row>
    <row r="19" spans="1:3" x14ac:dyDescent="0.25">
      <c r="A19" s="100" t="s">
        <v>664</v>
      </c>
      <c r="B19" s="100" t="s">
        <v>77</v>
      </c>
      <c r="C19" s="101" t="s">
        <v>687</v>
      </c>
    </row>
    <row r="20" spans="1:3" x14ac:dyDescent="0.25">
      <c r="A20" s="100" t="s">
        <v>665</v>
      </c>
      <c r="B20" s="100" t="s">
        <v>77</v>
      </c>
      <c r="C20" s="101" t="s">
        <v>688</v>
      </c>
    </row>
    <row r="21" spans="1:3" x14ac:dyDescent="0.25">
      <c r="A21" s="100" t="s">
        <v>666</v>
      </c>
      <c r="B21" s="100" t="s">
        <v>77</v>
      </c>
      <c r="C21" s="101" t="s">
        <v>689</v>
      </c>
    </row>
    <row r="22" spans="1:3" x14ac:dyDescent="0.25">
      <c r="A22" s="100" t="s">
        <v>667</v>
      </c>
      <c r="B22" s="100" t="s">
        <v>77</v>
      </c>
      <c r="C22" s="101" t="s">
        <v>690</v>
      </c>
    </row>
    <row r="23" spans="1:3" x14ac:dyDescent="0.25">
      <c r="A23" s="100" t="s">
        <v>668</v>
      </c>
      <c r="B23" s="100" t="s">
        <v>77</v>
      </c>
      <c r="C23" s="101" t="s">
        <v>691</v>
      </c>
    </row>
    <row r="24" spans="1:3" x14ac:dyDescent="0.25">
      <c r="A24" s="100" t="s">
        <v>669</v>
      </c>
      <c r="B24" s="100" t="s">
        <v>77</v>
      </c>
      <c r="C24" s="101" t="s">
        <v>692</v>
      </c>
    </row>
    <row r="25" spans="1:3" x14ac:dyDescent="0.25">
      <c r="A25" s="100" t="s">
        <v>670</v>
      </c>
      <c r="B25" s="100" t="s">
        <v>77</v>
      </c>
      <c r="C25" s="101" t="s">
        <v>693</v>
      </c>
    </row>
    <row r="26" spans="1:3" x14ac:dyDescent="0.25">
      <c r="A26" s="39" t="s">
        <v>706</v>
      </c>
      <c r="B26" s="100" t="s">
        <v>77</v>
      </c>
      <c r="C26" s="101" t="s">
        <v>707</v>
      </c>
    </row>
    <row r="27" spans="1:3" x14ac:dyDescent="0.25">
      <c r="A27" s="100"/>
      <c r="B27" s="100"/>
      <c r="C27" s="101"/>
    </row>
    <row r="28" spans="1:3" x14ac:dyDescent="0.25">
      <c r="A28" s="100"/>
      <c r="B28" s="100"/>
      <c r="C28" s="101"/>
    </row>
    <row r="29" spans="1:3" x14ac:dyDescent="0.25">
      <c r="A29" s="100"/>
      <c r="B29" s="100"/>
      <c r="C29" s="101"/>
    </row>
    <row r="30" spans="1:3" x14ac:dyDescent="0.25">
      <c r="A30" s="100"/>
      <c r="B30" s="100"/>
      <c r="C30" s="101"/>
    </row>
    <row r="31" spans="1:3" x14ac:dyDescent="0.25">
      <c r="A31" s="100"/>
      <c r="B31" s="100"/>
      <c r="C31" s="101"/>
    </row>
    <row r="32" spans="1:3" x14ac:dyDescent="0.25">
      <c r="A32" s="100"/>
      <c r="B32" s="100"/>
      <c r="C32" s="101"/>
    </row>
    <row r="33" spans="1:3" x14ac:dyDescent="0.25">
      <c r="A33" s="100"/>
      <c r="B33" s="100"/>
      <c r="C33" s="101"/>
    </row>
    <row r="34" spans="1:3" x14ac:dyDescent="0.25">
      <c r="A34" s="100"/>
      <c r="B34" s="100"/>
      <c r="C34" s="101"/>
    </row>
  </sheetData>
  <pageMargins left="0.7" right="0.7" top="0.75" bottom="0.75" header="0.3" footer="0.3"/>
  <pageSetup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June 29, 2017</vt:lpstr>
      <vt:lpstr>Historical Recap</vt:lpstr>
      <vt:lpstr>Obsoleted</vt:lpstr>
      <vt:lpstr>Superceded</vt:lpstr>
      <vt:lpstr>'Historical Recap'!Print_Area</vt:lpstr>
      <vt:lpstr>'June 29, 2017'!Print_Area</vt:lpstr>
      <vt:lpstr>'Historical Recap'!Print_Titles</vt:lpstr>
      <vt:lpstr>'June 29, 2017'!Print_Titles</vt:lpstr>
    </vt:vector>
  </TitlesOfParts>
  <Company>Honeywell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Rick J. Clay</cp:lastModifiedBy>
  <cp:lastPrinted>2015-03-09T12:08:46Z</cp:lastPrinted>
  <dcterms:created xsi:type="dcterms:W3CDTF">2011-05-02T14:58:46Z</dcterms:created>
  <dcterms:modified xsi:type="dcterms:W3CDTF">2017-06-28T20:16:14Z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